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755" firstSheet="3" activeTab="3"/>
  </bookViews>
  <sheets>
    <sheet name="EST FARTURAO" sheetId="1" state="hidden" r:id="rId1"/>
    <sheet name="MEMORIA" sheetId="2" state="hidden" r:id="rId2"/>
    <sheet name="MEMÓRIA DE CÁLCULO" sheetId="3" r:id="rId3"/>
    <sheet name="PLANILHA DE CUSTOS" sheetId="4" r:id="rId4"/>
    <sheet name="CRONOGRAMA" sheetId="5" r:id="rId5"/>
    <sheet name="COMP CUSTO UNIT" sheetId="6" r:id="rId6"/>
    <sheet name="COMPOSIÇÃO DE BDI" sheetId="7" r:id="rId7"/>
  </sheets>
  <definedNames>
    <definedName name="_xlfn.SINGLE" hidden="1">#NAME?</definedName>
    <definedName name="_xlnm.Print_Area" localSheetId="5">'COMP CUSTO UNIT'!$A$1:$G$135</definedName>
    <definedName name="_xlnm.Print_Area" localSheetId="6">'COMPOSIÇÃO DE BDI'!$A$1:$G$45</definedName>
    <definedName name="_xlnm.Print_Area" localSheetId="4">'CRONOGRAMA'!$A$1:$J$37</definedName>
    <definedName name="_xlnm.Print_Area" localSheetId="0">'EST FARTURAO'!$A$1:$N$50</definedName>
    <definedName name="_xlnm.Print_Area" localSheetId="2">'MEMÓRIA DE CÁLCULO'!$A$1:$H$67</definedName>
    <definedName name="_xlnm.Print_Area" localSheetId="3">'PLANILHA DE CUSTOS'!$A$1:$H$59</definedName>
    <definedName name="_xlnm.Print_Titles" localSheetId="5">'COMP CUSTO UNIT'!$1:$10</definedName>
    <definedName name="_xlnm.Print_Titles" localSheetId="4">'CRONOGRAMA'!$1:$10</definedName>
    <definedName name="_xlnm.Print_Titles" localSheetId="0">'EST FARTURAO'!$15:$15</definedName>
    <definedName name="_xlnm.Print_Titles" localSheetId="2">'MEMÓRIA DE CÁLCULO'!$1:$11</definedName>
    <definedName name="_xlnm.Print_Titles" localSheetId="3">'PLANILHA DE CUSTOS'!$1:$10</definedName>
  </definedNames>
  <calcPr fullCalcOnLoad="1"/>
</workbook>
</file>

<file path=xl/sharedStrings.xml><?xml version="1.0" encoding="utf-8"?>
<sst xmlns="http://schemas.openxmlformats.org/spreadsheetml/2006/main" count="803" uniqueCount="381">
  <si>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</si>
  <si>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</si>
  <si>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</si>
  <si>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</si>
  <si>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</si>
  <si>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</si>
  <si>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</si>
  <si>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</si>
  <si>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</si>
  <si>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</si>
  <si>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</si>
  <si>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</si>
  <si>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</si>
  <si>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</si>
  <si>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</si>
  <si>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</si>
  <si>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</si>
  <si>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</si>
  <si>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</si>
  <si>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</si>
  <si>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</si>
  <si>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</si>
  <si>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</si>
  <si>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</si>
  <si>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</si>
  <si>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</si>
  <si>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</si>
  <si>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</si>
  <si>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</si>
  <si>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</si>
  <si>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</si>
  <si>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</si>
  <si>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</si>
  <si>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</si>
  <si>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</si>
  <si>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</si>
  <si>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</si>
  <si>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</si>
  <si>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</si>
  <si>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</si>
  <si>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</si>
  <si>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</si>
  <si>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</si>
  <si>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</si>
  <si>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</si>
  <si>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</si>
  <si>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</si>
  <si>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</si>
  <si>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</si>
  <si>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</si>
  <si>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</si>
  <si>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</si>
  <si>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</si>
  <si>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</si>
  <si>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</si>
  <si>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</si>
  <si>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</si>
  <si>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</si>
  <si>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</si>
  <si>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</si>
  <si>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</si>
  <si>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</si>
  <si>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</si>
  <si>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</si>
  <si>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</si>
  <si>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</si>
  <si>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</si>
  <si>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</si>
  <si>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</si>
  <si>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</si>
  <si>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</si>
  <si>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</si>
  <si>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</si>
  <si>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</si>
  <si>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</si>
  <si>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</si>
  <si>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</si>
  <si>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</si>
  <si>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</si>
  <si>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</si>
  <si>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</si>
  <si>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</si>
  <si>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</si>
  <si>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</si>
  <si>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</si>
  <si>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</si>
  <si>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</si>
  <si>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</si>
  <si>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</si>
  <si>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</si>
  <si>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</si>
  <si>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</si>
  <si>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</si>
  <si>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</si>
  <si>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</si>
  <si>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</si>
  <si>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ITEM</t>
  </si>
  <si>
    <t>DISCRIMINAÇÃO</t>
  </si>
  <si>
    <t>UND</t>
  </si>
  <si>
    <t>-</t>
  </si>
  <si>
    <t>1.0</t>
  </si>
  <si>
    <t>1.1.1</t>
  </si>
  <si>
    <t>1.1.2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</si>
  <si>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</si>
  <si>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</si>
  <si>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</si>
  <si>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</si>
  <si>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</si>
  <si>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</si>
  <si>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</si>
  <si>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OBRAS DE ARTES CORRENTES E ESPECIAIS</t>
  </si>
  <si>
    <t>1.4</t>
  </si>
  <si>
    <t>1.5</t>
  </si>
  <si>
    <t>1.5.1</t>
  </si>
  <si>
    <t>1.5.2</t>
  </si>
  <si>
    <t>1.5.3</t>
  </si>
  <si>
    <t>1.5.4</t>
  </si>
  <si>
    <t>M³</t>
  </si>
  <si>
    <t>M³/KM</t>
  </si>
  <si>
    <t xml:space="preserve">REVESTIMENTO PRIMARIO (Espessura 10,0cm) </t>
  </si>
  <si>
    <t>Custo Simples</t>
  </si>
  <si>
    <t>SINAPI</t>
  </si>
  <si>
    <t>REF:</t>
  </si>
  <si>
    <t>MÊS:</t>
  </si>
  <si>
    <t>QUANTIDADE</t>
  </si>
  <si>
    <t>PLANILHA DE QNT E CUSTOS</t>
  </si>
  <si>
    <t>1.3</t>
  </si>
  <si>
    <t>TOTAL</t>
  </si>
  <si>
    <t>SEDOP O11340</t>
  </si>
  <si>
    <t>1.4.1</t>
  </si>
  <si>
    <t>1.4.2</t>
  </si>
  <si>
    <t>1.4.3</t>
  </si>
  <si>
    <t>M</t>
  </si>
  <si>
    <t>CUSTO / KM</t>
  </si>
  <si>
    <t>TUBO DE CONCRETO PARA REDES COLETORAS DE ÁGUAS PLUVIAIS, DIÂMETRO DE 1000 MM, JUNTA RÍGIDA, INSTALADO EM LOCAL COM BAIXO NÍVEL DE INTERFERÊNCIAS - FORNECIMENTO E ASSENTAMENTO. AF_12/2015</t>
  </si>
  <si>
    <t>BOCA PARA BUEIRO SIMPLES TUBULAR, DIAMETRO =1,00M, EM CONCRETO CICLOPICO, INCLUINDO FORMAS, ESCAVACAO, REATERRO E MATERIAIS, EXCLUINDO MATERIAL REATERRO JAZIDA E TRANSPORTE.</t>
  </si>
  <si>
    <t>73856/4</t>
  </si>
  <si>
    <t>1.4.4</t>
  </si>
  <si>
    <t>REGULARIZAÇÃO E COMPACTAÇÃO DE SUBLEITO DE SOLO  PREDOMINANTEMENTE ARGILOSO. AF_11/2019</t>
  </si>
  <si>
    <t>REGULARIZAÇÃO DE SUPERFÍCIES COM MOTONIVELADORA. AF_11/2019 (LARGURA DE 6M)</t>
  </si>
  <si>
    <t>ESCAVAÇÃO HORIZONTAL EM SOLO DE 1A CATEGORIA COM TRATOR DE ESTEIRAS (125HP/LÂMINA: 2,70M3). AF_07/2020</t>
  </si>
  <si>
    <t>ESCAVAÇÃO HORIZONTAL, INCLUINDO ESCARIFICAÇÃO EM SOLO DE 2A CATEGORIA COM TRATOR DE ESTEIRAS (170HP/LÂMINA: 5,20M3). AF_07/2020</t>
  </si>
  <si>
    <t>Transporte com caminhao basculante de 18m³ - DMT = 5,0 km</t>
  </si>
  <si>
    <t>ML</t>
  </si>
  <si>
    <t>INSTALAÇÃO DO CANTEIRO EM CHAPA DE MADEIRA</t>
  </si>
  <si>
    <t>PLACA DE OBRA EM LONA COM PLOTAGEM GRAFICA (2,00x3,00)</t>
  </si>
  <si>
    <t>LIMPEZA MECANIZADA DE CAMADA VEGETAL, VEGETAÇÃO E PEQUENAS ARVORES</t>
  </si>
  <si>
    <t>REGULARIZAÇÃO E COMPACTAÇÃO DE SOLO</t>
  </si>
  <si>
    <t>RECONSTRUÇÃO DE PONTE EM MADEIRA DE LEI, COM FUNDAÇÃO EM ESTACA CRAVADA.</t>
  </si>
  <si>
    <t>MEMÓRIA DE CÁLCULO</t>
  </si>
  <si>
    <t>COMPRIMENTO</t>
  </si>
  <si>
    <t>LARGURA</t>
  </si>
  <si>
    <t>ESCAVAÇÃO HORIZONTAL, INCLUINDO ESCARIFICAÇÃO EM SOLO DE 2A CATEGORIA COM TRATOR DE ESTEIRAS (170HP/LÂMINA: 5,20M3).</t>
  </si>
  <si>
    <t>LIMPEZA MECANIZADA DE CAMADA VEGETAL, VEGETAÇÃO E PEQUENAS ARVORES SECUDÁRIAS (LIMPEZA DE 4 m EM CADA MARGEM)</t>
  </si>
  <si>
    <t>REGULARIZAÇÃO DE SUPERFÍCIES COM MOTONIVELADORA. (LARGURA DE 7M)</t>
  </si>
  <si>
    <t>REGULARIZAÇÃO E COMPACTAÇÃO DE SUBLEITO DE SOLO  PREDOMINANTEMENTE ARGILOSO.(LARGURA DE 7m)</t>
  </si>
  <si>
    <t>ESCAVAÇÃO HORIZONTAL EM SOLO DE 1A CATEGORIA COM TRATOR DE ESTEIRAS (125HP/LÂMINA: 2,70M3).</t>
  </si>
  <si>
    <t>ESPESSURA</t>
  </si>
  <si>
    <r>
      <rPr>
        <b/>
        <sz val="12"/>
        <color indexed="8"/>
        <rFont val="Courier New"/>
        <family val="3"/>
      </rPr>
      <t xml:space="preserve">PROPRIETÁRIO: </t>
    </r>
    <r>
      <rPr>
        <sz val="12"/>
        <color indexed="8"/>
        <rFont val="Courier New"/>
        <family val="3"/>
      </rPr>
      <t>MUNICÍPIO DE ITAITUBA</t>
    </r>
  </si>
  <si>
    <t xml:space="preserve">DATA DA EXPEDIÇÃO:    </t>
  </si>
  <si>
    <t xml:space="preserve">VALOR DA OBRA: </t>
  </si>
  <si>
    <t>MATERIAL</t>
  </si>
  <si>
    <t xml:space="preserve">FONTE </t>
  </si>
  <si>
    <t>UNID</t>
  </si>
  <si>
    <t>COEFICENTE</t>
  </si>
  <si>
    <t>PREÇO UNITÁRIO</t>
  </si>
  <si>
    <t>M2</t>
  </si>
  <si>
    <t>M3</t>
  </si>
  <si>
    <t>0,0060000</t>
  </si>
  <si>
    <t>TOTAL C/ ENCARGOS S/ BDI</t>
  </si>
  <si>
    <t>D00281</t>
  </si>
  <si>
    <t>Pernamanca 3" x 2" 4 m - madeira branca</t>
  </si>
  <si>
    <t>SEDOP</t>
  </si>
  <si>
    <t>DZ</t>
  </si>
  <si>
    <t>D00475</t>
  </si>
  <si>
    <t>Lona com plotagem de gráfica</t>
  </si>
  <si>
    <t>D00084</t>
  </si>
  <si>
    <t>Prego 1 1/2"x13</t>
  </si>
  <si>
    <t>KG</t>
  </si>
  <si>
    <t>CARPINTEIRO COM ENCARGOS COMPLEMENTARES</t>
  </si>
  <si>
    <t>H</t>
  </si>
  <si>
    <t>SERVENTE COM ENCARGOS COMPLEMENTARES</t>
  </si>
  <si>
    <t>1.2.1 98525 - Limpeza mecanizada de camada vegetal, vegetação e pequenas arvores - M²</t>
  </si>
  <si>
    <t>88316</t>
  </si>
  <si>
    <t>0,0030000</t>
  </si>
  <si>
    <t>15,06</t>
  </si>
  <si>
    <t>88441</t>
  </si>
  <si>
    <t>JARDINEIRO COM ENCARGOS COMPLEMENTARES</t>
  </si>
  <si>
    <t>89031</t>
  </si>
  <si>
    <t>TRATOR DE ESTEIRAS, POTÊNCIA 100 HP, PESO OPERACIONAL 9,4 T, COM LÂMINA 2,19 M3 - CHI DIURNO. AF_06/2014</t>
  </si>
  <si>
    <t>CHI</t>
  </si>
  <si>
    <t>0,0024000</t>
  </si>
  <si>
    <t>89032</t>
  </si>
  <si>
    <t>TRATOR DE ESTEIRAS, POTÊNCIA 100 HP, PESO OPERACIONAL 9,4 T, COM LÂMINA 2,19 M3 - CHP DIURNO. AF_06/2014</t>
  </si>
  <si>
    <t>CHP</t>
  </si>
  <si>
    <t>0,0006000</t>
  </si>
  <si>
    <t>1.3.1 101121 - ESCAVAÇÃO HORIZONTAL, INCLUINDO ESCARIFICAÇÃO EM SOLO DE 2A CATEGORIA COM TRATOR DE ESTEIRAS (170HP/LÂMINA: 5,20M3). AF_07/2020 - m³</t>
  </si>
  <si>
    <t>5847</t>
  </si>
  <si>
    <t>TRATOR DE ESTEIRAS, POTÊNCIA 170 HP, PESO OPERACIONAL 19 T, CAÇAMBA 5,2 M3 - CHP DIURNO. AF_06/2014</t>
  </si>
  <si>
    <t>0,0092000</t>
  </si>
  <si>
    <t>5849</t>
  </si>
  <si>
    <t>TRATOR DE ESTEIRAS, POTÊNCIA 170 HP, PESO OPERACIONAL 19 T, CAÇAMBA 5,2 M3 - CHI DIURNO. AF_06/2014</t>
  </si>
  <si>
    <t>0,0157000</t>
  </si>
  <si>
    <t>0,0249000</t>
  </si>
  <si>
    <t>1.3.2 100575 - REGULARIZAÇÃO DE SUPERFÍCIES COM MOTONIVELADORA. AF_11/2019 (LARGURA DE 6M) - m²</t>
  </si>
  <si>
    <t>5932</t>
  </si>
  <si>
    <t>MOTONIVELADORA POTÊNCIA BÁSICA LÍQUIDA (PRIMEIRA MARCHA) 125 HP, PESO BRUTO 13032 KG, LARGURA DA LÂMINA DE 3,7 M - CHP DIURNO. AF_06/2014</t>
  </si>
  <si>
    <t>0,0001000</t>
  </si>
  <si>
    <t>5934</t>
  </si>
  <si>
    <t>MOTONIVELADORA POTÊNCIA BÁSICA LÍQUIDA (PRIMEIRA MARCHA) 125 HP, PESO BRUTO 13032 KG, LARGURA DA LÂMINA DE 3,7 M - CHI DIURNO. AF_06/2014</t>
  </si>
  <si>
    <t>0,0010000</t>
  </si>
  <si>
    <t>1.3.3 100576 - REGULARIZAÇÃO E COMPACTAÇÃO DE SUBLEITO DE SOLO  PREDOMINANTEMENTE ARGILOSO. AF_11/2019 - M²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</si>
  <si>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</si>
  <si>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</si>
  <si>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</si>
  <si>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</si>
  <si>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0,0070000</t>
  </si>
  <si>
    <t>0,0080000</t>
  </si>
  <si>
    <t>73436</t>
  </si>
  <si>
    <t>ROLO COMPACTADOR VIBRATÓRIO PÉ DE CARNEIRO PARA SOLOS, POTÊNCIA 80 HP, PESO OPERACIONAL SEM/COM LASTRO 7,4 / 8,8 T, LARGURA DE TRABALHO 1,68 M - CHP DIURNO. AF_02/2016</t>
  </si>
  <si>
    <t>0,0020000</t>
  </si>
  <si>
    <t>93244</t>
  </si>
  <si>
    <t>ROLO COMPACTADOR VIBRATÓRIO PÉ DE CARNEIRO PARA SOLOS, POTÊNCIA 80 HP, PESO OPERACIONAL SEM/COM LASTRO 7,4 / 8,8 T, LARGURA DE TRABALHO 1,68 M - CHI DIURNO. AF_02/2016</t>
  </si>
  <si>
    <t>5631</t>
  </si>
  <si>
    <t>ESCAVADEIRA HIDRÁULICA SOBRE ESTEIRAS, CAÇAMBA 0,80 M3, PESO OPERACIONAL 17 T, POTENCIA BRUTA 111 HP - CHP DIURNO. AF_06/2014</t>
  </si>
  <si>
    <t>5632</t>
  </si>
  <si>
    <t>ESCAVADEIRA HIDRÁULICA SOBRE ESTEIRAS, CAÇAMBA 0,80 M3, PESO OPERACIONAL 17 T, POTENCIA BRUTA 111 HP - CHI DIURNO. AF_06/2014</t>
  </si>
  <si>
    <t>7725</t>
  </si>
  <si>
    <t>TUBO DE CONCRETO ARMADO PARA AGUAS PLUVIAIS, CLASSE PA-1, COM ENCAIXE PONTA E BOLSA, DIAMETRO NOMINAL DE = 600 MM</t>
  </si>
  <si>
    <t>1,0300000</t>
  </si>
  <si>
    <t>88246</t>
  </si>
  <si>
    <t>ASSENTADOR DE TUBOS COM ENCARGOS COMPLEMENTARES</t>
  </si>
  <si>
    <t>88629</t>
  </si>
  <si>
    <t>ARGAMASSA TRAÇO 1:3 (EM VOLUME DE CIMENTO E AREIA MÉDIA ÚMIDA), PREPARO MANUAL. AF_08/2019</t>
  </si>
  <si>
    <t>1.5.1 101118 - ESCAVAÇÃO HORIZONTAL EM SOLO DE 1A CATEGORIA COM TRATOR DE ESTEIRAS (125HP/LÂMINA: 2,70M3). AF_07/2020 - m³</t>
  </si>
  <si>
    <t>0,0251000</t>
  </si>
  <si>
    <t>88843</t>
  </si>
  <si>
    <t>TRATOR DE ESTEIRAS, POTÊNCIA 125 HP, PESO OPERACIONAL 12,9 T, COM LÂMINA 2,7 M3 - CHP DIURNO. AF_10/2014</t>
  </si>
  <si>
    <t>0,0093000</t>
  </si>
  <si>
    <t>88844</t>
  </si>
  <si>
    <t>TRATOR DE ESTEIRAS, POTÊNCIA 125 HP, PESO OPERACIONAL 12,9 T, COM LÂMINA 2,7 M3 - CHI DIURNO. AF_10/2014</t>
  </si>
  <si>
    <t>0,0158000</t>
  </si>
  <si>
    <t>1.5.4 100577 - Regularização e compactaçao de solo - m³</t>
  </si>
  <si>
    <t>96463</t>
  </si>
  <si>
    <t>ROLO COMPACTADOR DE PNEUS, ESTATICO, PRESSAO VARIAVEL, POTENCIA 110 HP, PESO SEM/COM LASTRO 10,8/27 T, LARGURA DE ROLAGEM 2,30 M - CHP DIURNO. AF_06/2017</t>
  </si>
  <si>
    <t>96464</t>
  </si>
  <si>
    <t>ROLO COMPACTADOR DE PNEUS, ESTATICO, PRESSAO VARIAVEL, POTENCIA 110 HP, PESO SEM/COM LASTRO 10,8/27 T, LARGURA DE ROLAGEM 2,30 M - CHI DIURNO. AF_06/2017</t>
  </si>
  <si>
    <t>1.4.1 92216 - TUBO DE CONCRETO PARA REDES COLETORAS DE ÁGUAS PLUVIAIS, DIÂMETRO DE 1000 MM, JUNTA RÍGIDA, INSTALADO EM LOCAL COM BAIXO NÍVEL DE INTERFERÊNCIAS - FORNECIMENTO E ASSENTAMENTO. AF_12/2015- M</t>
  </si>
  <si>
    <t>LASTRO DE CONCRETO MAGRO, APLICADO EM PISOS, LAJES SOBRE SOLO OU RADIERS. AF_08/2017</t>
  </si>
  <si>
    <t>FABRICAÇÃO, MONTAGEM E DESMONTAGEM DE FÔRMA PARA BOCA PARA BUEIRO, EM CHAPA DE MADEIRA COMPENSADA RESINADA, E = 17 MM, 2 UTILIZAÇÕES. AF_07/2021</t>
  </si>
  <si>
    <t>ARMAÇÃO DE MURO ALA E MURO TESTA UTILIZANDO AÇO CA-50 DE 6,3 MM - MONTAGEM. AF_07/2021</t>
  </si>
  <si>
    <t>ARMAÇÃO DE MURO ALA E MURO TESTA UTILIZANDO AÇO CA-50 DE 8 MM - MONTAGEM. AF_07/2021</t>
  </si>
  <si>
    <t>ARMAÇÃO DE MURO ALA E MURO TESTA UTILIZANDO AÇO CA-50 DE 10 MM - MONTAGEM. AF_07/2021</t>
  </si>
  <si>
    <t>ARMAÇÃO DE MURO ALA E MURO TESTA UTILIZANDO AÇO CA-50 DE 12,5 MM - MONTAGEM. AF_07/2021</t>
  </si>
  <si>
    <t>ARMAÇÃO DE SOLEIRA UTILIZANDO AÇO CA-50 DE 6,3 MM - MONTAGEM. AF_07/2021</t>
  </si>
  <si>
    <t>CONCRETAGEM DE BOCA PARA BUEIRO, FCK = 20 MPA, COM USO DE BOMBA - LANÇAMENTO, ADENSAMENTO E ACABAMENTO. AF_07/2021</t>
  </si>
  <si>
    <t>96620</t>
  </si>
  <si>
    <t>102727</t>
  </si>
  <si>
    <t>102728</t>
  </si>
  <si>
    <t>102729</t>
  </si>
  <si>
    <t>102730</t>
  </si>
  <si>
    <t>102731</t>
  </si>
  <si>
    <t>102734</t>
  </si>
  <si>
    <t>102736</t>
  </si>
  <si>
    <t>0,3895000</t>
  </si>
  <si>
    <t>12,7913000</t>
  </si>
  <si>
    <t>100,8619000</t>
  </si>
  <si>
    <t>5,7876000</t>
  </si>
  <si>
    <t>16,5739000</t>
  </si>
  <si>
    <t>40,8372000</t>
  </si>
  <si>
    <t>17,8821000</t>
  </si>
  <si>
    <t>2,5125000</t>
  </si>
  <si>
    <t>254,65</t>
  </si>
  <si>
    <t>44,86</t>
  </si>
  <si>
    <t>201,28</t>
  </si>
  <si>
    <t>66,44</t>
  </si>
  <si>
    <t>166,09</t>
  </si>
  <si>
    <t>61,33</t>
  </si>
  <si>
    <t>TABELA                                               SINAPI/PA - 10/2021 COM DESONERAÇÃO                  SEDOP SETEMBRO/2021</t>
  </si>
  <si>
    <t>Data:     03/11/2021</t>
  </si>
  <si>
    <t>BOCA PARA BUEIRO DUPLO TUBULAR D=100 CM EM CONCRETO, ALAS COM ESCONSIDADE 0º, INCLUINDO FORMAS E MATERIAIS. AF_07/2021</t>
  </si>
  <si>
    <t>BOCA PARA BUEIRO SIMPLES TUBULAR D=100 CM EM CONCRETO, ALAS COM ESCONSIDADE 0º, INCLUINDO FORMAS E MATERIAIS. AF_07/2021</t>
  </si>
  <si>
    <t>REGULARIZAÇÃO DE SUPERFÍCIES COM MOTONIVELADORA. AF_11/2019 (LARGURA DE 7M)</t>
  </si>
  <si>
    <t>BOCA PARA BUEIRO DUPLO TUBULAR D = 100 CM EM CONCRETO, ALAS COM ESCONSIDADE DE 0°, INCLUINDO FÔRMAS E MATERIAIS. AF_07/2021</t>
  </si>
  <si>
    <t>0,6355000</t>
  </si>
  <si>
    <t>14,7615000</t>
  </si>
  <si>
    <t>109,3510000</t>
  </si>
  <si>
    <t>11,0769000</t>
  </si>
  <si>
    <t>14,7526000</t>
  </si>
  <si>
    <t>55,1837000</t>
  </si>
  <si>
    <t>29,5086000</t>
  </si>
  <si>
    <t>3,0363000</t>
  </si>
  <si>
    <t>1.4.3 - 102744 - BOCA PARA BUEIRO DUPLO TUBULAR D = 100 CM EM CONCRETO, ALAS COM ESCONSIDADE DE 0°, INCLUINDO FÔRMAS E MATERIAIS. AF_07/2021</t>
  </si>
  <si>
    <t>1.4.2. 102740 - BOCA PARA BUEIRO SIMPLES TUBULAR, DIAMETRO =1,00M, EM CONCRETO CICLOPICO, INCLUINDO FORMAS, ESCAVACAO, REATERRO E MATERIAIS, EXCLUINDO MATERIAL REATERRO JAZIDA E TRANSPORTE. - UND</t>
  </si>
  <si>
    <t>BDI 29,90%</t>
  </si>
  <si>
    <t>VLR SEM BDI</t>
  </si>
  <si>
    <t>VLR COM BDI</t>
  </si>
  <si>
    <t>Data:     13/12/2021</t>
  </si>
  <si>
    <r>
      <rPr>
        <b/>
        <sz val="12"/>
        <color indexed="8"/>
        <rFont val="Courier New"/>
        <family val="3"/>
      </rPr>
      <t>OBRA</t>
    </r>
    <r>
      <rPr>
        <sz val="12"/>
        <color indexed="8"/>
        <rFont val="Courier New"/>
        <family val="3"/>
      </rPr>
      <t>: RECUPERAÇÃO E COMPLEMENTAÇÃO DE 74,35 KM DA ESTRADA DEGREDO / PANTANAL, DE 37,80 KM DA ESTRADA SÃO BENEDITO, DE 27,50 KM DA VICINAL DO MACHADO E DE 49,30 KM DA ESTRADA NOVA INTEGRAÇÃO, TOTAL DE 188,95 KM DE VICINAIS.</t>
    </r>
  </si>
  <si>
    <t>RECUPERAÇÃO DE 188,95 KM DE VICINAIS.</t>
  </si>
  <si>
    <t>CRONOGRAMA FÍSICO-FINANCEIRO DETALHADO</t>
  </si>
  <si>
    <t>DISCRIMINAÇÃO DOS SERVIÇOS</t>
  </si>
  <si>
    <t>UNID.</t>
  </si>
  <si>
    <t>%</t>
  </si>
  <si>
    <t>DIAS</t>
  </si>
  <si>
    <t>PARCIAL SIMPLES R$</t>
  </si>
  <si>
    <t>PERCENTUAIS SIMPLES %</t>
  </si>
  <si>
    <t>PARCIAIS ACUMULADOS R$</t>
  </si>
  <si>
    <t>PERCENTUAIS ACUMULADOS %</t>
  </si>
  <si>
    <t>OBRA: RECUPERAÇÃO E COMPLEMENTAÇÃO DE 74,35 KM DA ESTRADA DEGREDO / PANTANAL, DE 37,80 KM DA ESTRADA SÃO BENEDITO, DE 27,50 KM DA VICINAL DO MACHADO E DE 49,30 KM DA ESTRADA NOVA INTEGRAÇÃO, TOTAL DE 188,95 KM DE VICINAIS.</t>
  </si>
  <si>
    <r>
      <rPr>
        <b/>
        <sz val="11"/>
        <color indexed="8"/>
        <rFont val="Courier New"/>
        <family val="3"/>
      </rPr>
      <t xml:space="preserve">PROPRIETÁRIO: </t>
    </r>
    <r>
      <rPr>
        <sz val="11"/>
        <color indexed="8"/>
        <rFont val="Courier New"/>
        <family val="3"/>
      </rPr>
      <t>MUNICÍPIO DE ITAITUBA</t>
    </r>
  </si>
  <si>
    <t>VALOR: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</si>
  <si>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RECUPERAÇÃO E COMPLEMENTAÇÃO DE 74,35 KM DA ESTRADA DEGREDO / PANTANAL, DE 37,80 KM DA ESTRADA SÃO BENEDITO, DE 27,50 KM DA VICINAL DO MACHADO E DE 49,30 KM DA ESTRADA NOVA INTEGRAÇÃO, TOTAL DE 188,95 KM DE VICINAIS.</t>
    </r>
  </si>
  <si>
    <t>DATA DA EXPEDIÇÃO: 13/12/2021</t>
  </si>
  <si>
    <t>1.5.3 100575 - REGULARIZAÇÃO DE SUPERFÍCIES COM MOTONIVELADORA. AF_11/2019</t>
  </si>
  <si>
    <t>Data:     18/10/2021</t>
  </si>
  <si>
    <t>Transporte com caminhao basculante de 18m³-DMT= 5,0 km (D35*E35*(F35)*1,25*5)</t>
  </si>
  <si>
    <t>COMPRIMENTO(M)</t>
  </si>
  <si>
    <t>LARGURA(M)</t>
  </si>
  <si>
    <t>ESPESSURA(M)</t>
  </si>
  <si>
    <t>TRANSPORTE COM CAMINHÃO BASCULANTE DE 14 M³, EM VIA URBANA EM REVESTIMENTO PRIMÁRIO (UNIDADE: TXKM). AF_07/2020</t>
  </si>
  <si>
    <t>T/KM</t>
  </si>
  <si>
    <t>1,60 X 5 X 1,25 = 10</t>
  </si>
  <si>
    <t>1.5.2 93598 - TRANSPORTE COM CAMINHÃO BASCULANTE DE 14 M³, EM VIA URBANA EM REVESTIMENTO PRIMÁRIO (UNIDADE: TXKM). AF_07/2020</t>
  </si>
  <si>
    <t>89876</t>
  </si>
  <si>
    <t>CAMINHÃO BASCULANTE 14 M3, COM CAVALO MECÂNICO DE CAPACIDADE MÁXIMA DE TRAÇÃO COMBINADO DE 36000 KG, POTÊNCIA 286 CV, INCLUSIVE SEMIREBOQUE COM CAÇAMBA METÁLICA - CHP DIURNO. AF_12/2014</t>
  </si>
  <si>
    <t>89877</t>
  </si>
  <si>
    <t>CAMINHÃO BASCULANTE 14 M3, COM CAVALO MECÂNICO DE CAPACIDADE MÁXIMA DE TRAÇÃO COMBINADO DE 36000 KG, POTÊNCIA 286 CV, INCLUSIVE SEMIREBOQUE COM CAÇAMBA METÁLICA - CHI DIURNO. AF_12/2014</t>
  </si>
  <si>
    <t>SERVIÇOS PRELIMINARES</t>
  </si>
  <si>
    <t>ENGENHEIRO CIVIL DE OBRA PLENO COM ENCARGOS COMPLEMENTARES</t>
  </si>
  <si>
    <t>ENCARREGADO GERAL COM ENCARGOS COMPLEMENTARES</t>
  </si>
  <si>
    <t>LOCAÇÃO DE PAVIMENTAÇÃO. AF_10/2018</t>
  </si>
  <si>
    <t>1.1.3</t>
  </si>
  <si>
    <t>1.1.5</t>
  </si>
  <si>
    <t>LIMPEZA MECANIZADA DE CAMADA VEGETAL, VEGETAÇÃO E PEQUENAS ARVORES SECUDÁRIAS (LIMPEZA DE 1,5 m EM CADA MARGEM)</t>
  </si>
  <si>
    <t>06:00 HORAS</t>
  </si>
  <si>
    <t>1.1.1 90778 - ENGENHEIRO CIVIL DE OBRA PLENO COM ENCARGOS COMPLEMENTARES</t>
  </si>
  <si>
    <t>1.1.2 90776 - ENCARREGADO GERAL COM ENCARGOS COMPLEMENTARES</t>
  </si>
  <si>
    <t>HONORÁRIOS</t>
  </si>
  <si>
    <t>LOCAÇÃO DE PONTO PARA REFERÊNCIA TOPOGRÁFICA. AF_10/2018</t>
  </si>
  <si>
    <t>UM</t>
  </si>
  <si>
    <t>1.1.3 90776 - ENCARREGADO GERAL COM ENCARGOS COMPLEMENTARES</t>
  </si>
  <si>
    <t>1.1.4 11340 - Placa de obra em lona com plotagem de grafica(2,00x3,00) - m²</t>
  </si>
  <si>
    <t xml:space="preserve">OBRA: </t>
  </si>
  <si>
    <t>TOMADOR:</t>
  </si>
  <si>
    <t>PREFEITURA MUNICIPAL DE ITAITUBA</t>
  </si>
  <si>
    <t>GESTOR:</t>
  </si>
  <si>
    <t>LOCAL DA OBRA:</t>
  </si>
  <si>
    <t>Cálculo do BDI                  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</si>
  <si>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</si>
  <si>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</si>
  <si>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</si>
  <si>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</si>
  <si>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</si>
  <si>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</si>
  <si>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</si>
  <si>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</si>
  <si>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</si>
  <si>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</si>
  <si>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</si>
  <si>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</si>
  <si>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</si>
  <si>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</si>
  <si>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</si>
  <si>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</si>
  <si>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</si>
  <si>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</si>
  <si>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</si>
  <si>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</si>
  <si>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</si>
  <si>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</si>
  <si>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</si>
  <si>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</si>
  <si>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</si>
  <si>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</si>
  <si>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</si>
  <si>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RECUPERAÇÃO E COMPLEMENTAÇÃO DE 74,35 KM DA ESTRADA DEGREDO / PANTANAL, DE 37,80 KM DA ESTRADA SÃO BENEDITO, DE 27,50 KM DA VICINAL DO MACHADO E DE 49,30 KM DA ESTRADA NOVA INTEGRAÇÃO, TOTAL DE 188,95 KM DE VICINAIS.</t>
  </si>
  <si>
    <r>
      <rPr>
        <b/>
        <sz val="12"/>
        <color indexed="8"/>
        <rFont val="Courier New"/>
        <family val="3"/>
      </rPr>
      <t>LOCAL DA OBRA</t>
    </r>
    <r>
      <rPr>
        <sz val="12"/>
        <color indexed="8"/>
        <rFont val="Courier New"/>
        <family val="3"/>
      </rPr>
      <t>: VICINAIS DE ITAITUBA-PA.</t>
    </r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</si>
  <si>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>VICINAIS DE ITAITUBA-PA.</t>
    </r>
  </si>
  <si>
    <t>VICINAIS DE ITAITUBA-PA.</t>
  </si>
  <si>
    <t>VALMIR CLIMACO DE AGUIAR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</si>
</sst>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_-[$R$-416]\ * #,##0.00_-;\-[$R$-416]\ * #,##0.00_-;_-[$R$-416]\ * &quot;-&quot;??_-;_-@_-"/>
    <numFmt numFmtId="194" formatCode="0.0000000"/>
    <numFmt numFmtId="195" formatCode="#,##0.000"/>
    <numFmt numFmtId="196" formatCode="#,##0.0000"/>
    <numFmt numFmtId="197" formatCode="_(* #,##0.000_);_(* \(#,##0.000\);_(* &quot;-&quot;??_);_(@_)"/>
    <numFmt numFmtId="198" formatCode="_(* #,##0.0_);_(* \(#,##0.0\);_(* &quot;-&quot;??_);_(@_)"/>
    <numFmt numFmtId="199" formatCode="_-* #,##0.00_-;\-* #,##0.00_-;_-* \-??_-;_-@_-"/>
    <numFmt numFmtId="200" formatCode="_-[$R$-416]* #,##0.00_-;\-[$R$-416]* #,##0.00_-;_-[$R$-416]* &quot;-&quot;??_-;_-@_-"/>
    <numFmt numFmtId="201" formatCode="_-&quot;R$ &quot;* #,##0.00_-;&quot;-R$ &quot;* #,##0.00_-;_-&quot;R$ &quot;* \-??_-;_-@_-"/>
    <numFmt numFmtId="202" formatCode="0.0%"/>
    <numFmt numFmtId="203" formatCode="0.000000"/>
    <numFmt numFmtId="204" formatCode="0.00000"/>
    <numFmt numFmtId="205" formatCode="#,##0.00000"/>
    <numFmt numFmtId="206" formatCode="#,##0.000000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Courier New"/>
      <family val="3"/>
    </font>
    <font>
      <b/>
      <sz val="14"/>
      <color indexed="8"/>
      <name val="Arial"/>
      <family val="2"/>
    </font>
    <font>
      <sz val="11"/>
      <color indexed="8"/>
      <name val="Courier New"/>
      <family val="3"/>
    </font>
    <font>
      <sz val="12"/>
      <name val="Arial"/>
      <family val="2"/>
    </font>
    <font>
      <b/>
      <sz val="12"/>
      <name val="Bodoni MT"/>
      <family val="0"/>
    </font>
    <font>
      <b/>
      <sz val="16"/>
      <name val="Arabic Typesetting"/>
      <family val="0"/>
    </font>
    <font>
      <b/>
      <sz val="11"/>
      <name val="Arabic Typesetting"/>
      <family val="0"/>
    </font>
    <font>
      <b/>
      <sz val="11"/>
      <name val="Andalus"/>
      <family val="0"/>
    </font>
    <font>
      <sz val="11"/>
      <name val="Andalus"/>
      <family val="0"/>
    </font>
    <font>
      <sz val="1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12"/>
      <name val="Andalus"/>
      <family val="0"/>
    </font>
    <font>
      <b/>
      <sz val="11"/>
      <name val="Batan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11"/>
      <name val="Calibri"/>
      <family val="0"/>
    </font>
    <font>
      <sz val="9"/>
      <color indexed="8"/>
      <name val="Calibri"/>
      <family val="0"/>
    </font>
    <font>
      <i/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ourier New"/>
      <family val="0"/>
    </font>
    <font>
      <sz val="7"/>
      <color indexed="8"/>
      <name val="Arial"/>
      <family val="0"/>
    </font>
    <font>
      <b/>
      <i/>
      <sz val="10"/>
      <color indexed="8"/>
      <name val="Courier New"/>
      <family val="0"/>
    </font>
    <font>
      <b/>
      <i/>
      <sz val="9"/>
      <color indexed="8"/>
      <name val="Courier New"/>
      <family val="0"/>
    </font>
    <font>
      <sz val="7"/>
      <color indexed="8"/>
      <name val="Courier New"/>
      <family val="0"/>
    </font>
    <font>
      <sz val="10.5"/>
      <color indexed="8"/>
      <name val="Courier New"/>
      <family val="0"/>
    </font>
    <font>
      <b/>
      <i/>
      <sz val="12"/>
      <color indexed="8"/>
      <name val="Courier New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9"/>
      <color theme="1"/>
      <name val="Calibri"/>
      <family val="0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01" fontId="24" fillId="0" borderId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0" fontId="88" fillId="21" borderId="5" applyNumberFormat="0" applyAlignment="0" applyProtection="0"/>
    <xf numFmtId="175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177" fontId="0" fillId="0" borderId="0" applyFont="0" applyFill="0" applyBorder="0" applyAlignment="0" applyProtection="0"/>
    <xf numFmtId="199" fontId="24" fillId="0" borderId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176" fontId="96" fillId="0" borderId="16" xfId="47" applyFont="1" applyBorder="1" applyAlignment="1">
      <alignment horizontal="center" vertical="center" wrapText="1"/>
    </xf>
    <xf numFmtId="0" fontId="97" fillId="0" borderId="17" xfId="0" applyFont="1" applyBorder="1" applyAlignment="1">
      <alignment vertical="center" wrapText="1"/>
    </xf>
    <xf numFmtId="0" fontId="96" fillId="0" borderId="18" xfId="0" applyFont="1" applyBorder="1" applyAlignment="1">
      <alignment horizontal="center" vertical="center" wrapText="1"/>
    </xf>
    <xf numFmtId="0" fontId="97" fillId="0" borderId="18" xfId="0" applyFont="1" applyBorder="1" applyAlignment="1">
      <alignment vertical="center" wrapText="1"/>
    </xf>
    <xf numFmtId="176" fontId="97" fillId="0" borderId="19" xfId="47" applyFont="1" applyBorder="1" applyAlignment="1">
      <alignment horizontal="center" vertical="center" wrapText="1"/>
    </xf>
    <xf numFmtId="176" fontId="96" fillId="0" borderId="19" xfId="47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99" fillId="0" borderId="18" xfId="0" applyFont="1" applyBorder="1" applyAlignment="1">
      <alignment vertical="center" wrapText="1"/>
    </xf>
    <xf numFmtId="0" fontId="99" fillId="0" borderId="20" xfId="0" applyFont="1" applyBorder="1" applyAlignment="1">
      <alignment vertical="center" wrapText="1"/>
    </xf>
    <xf numFmtId="4" fontId="98" fillId="0" borderId="20" xfId="0" applyNumberFormat="1" applyFont="1" applyBorder="1" applyAlignment="1">
      <alignment vertical="center" wrapText="1"/>
    </xf>
    <xf numFmtId="0" fontId="97" fillId="0" borderId="20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4" fontId="99" fillId="33" borderId="20" xfId="68" applyNumberFormat="1" applyFont="1" applyFill="1" applyBorder="1" applyAlignment="1">
      <alignment horizontal="right" vertical="center" wrapText="1"/>
    </xf>
    <xf numFmtId="0" fontId="97" fillId="0" borderId="18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4" fontId="98" fillId="33" borderId="20" xfId="0" applyNumberFormat="1" applyFont="1" applyFill="1" applyBorder="1" applyAlignment="1">
      <alignment vertical="center" wrapText="1"/>
    </xf>
    <xf numFmtId="0" fontId="97" fillId="0" borderId="21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177" fontId="99" fillId="33" borderId="20" xfId="68" applyFont="1" applyFill="1" applyBorder="1" applyAlignment="1">
      <alignment horizontal="right" vertical="center" wrapText="1"/>
    </xf>
    <xf numFmtId="4" fontId="99" fillId="33" borderId="20" xfId="0" applyNumberFormat="1" applyFont="1" applyFill="1" applyBorder="1" applyAlignment="1">
      <alignment horizontal="right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4" fontId="99" fillId="33" borderId="22" xfId="0" applyNumberFormat="1" applyFont="1" applyFill="1" applyBorder="1" applyAlignment="1">
      <alignment horizontal="right" vertical="center" wrapText="1"/>
    </xf>
    <xf numFmtId="4" fontId="99" fillId="33" borderId="22" xfId="68" applyNumberFormat="1" applyFont="1" applyFill="1" applyBorder="1" applyAlignment="1">
      <alignment horizontal="right" vertical="center" wrapText="1"/>
    </xf>
    <xf numFmtId="0" fontId="97" fillId="0" borderId="0" xfId="0" applyFont="1" applyAlignment="1">
      <alignment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4" fontId="100" fillId="33" borderId="0" xfId="0" applyNumberFormat="1" applyFont="1" applyFill="1" applyAlignment="1">
      <alignment vertical="center"/>
    </xf>
    <xf numFmtId="0" fontId="97" fillId="0" borderId="0" xfId="0" applyFont="1" applyAlignment="1">
      <alignment horizontal="justify" vertical="center"/>
    </xf>
    <xf numFmtId="0" fontId="100" fillId="0" borderId="0" xfId="0" applyFont="1" applyFill="1" applyAlignment="1">
      <alignment vertical="center"/>
    </xf>
    <xf numFmtId="2" fontId="98" fillId="0" borderId="10" xfId="0" applyNumberFormat="1" applyFont="1" applyBorder="1" applyAlignment="1">
      <alignment horizontal="center" vertical="center"/>
    </xf>
    <xf numFmtId="4" fontId="101" fillId="0" borderId="10" xfId="0" applyNumberFormat="1" applyFont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96" fillId="0" borderId="10" xfId="0" applyFont="1" applyBorder="1" applyAlignment="1">
      <alignment horizontal="center" vertical="center"/>
    </xf>
    <xf numFmtId="177" fontId="96" fillId="0" borderId="10" xfId="68" applyFont="1" applyBorder="1" applyAlignment="1">
      <alignment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justify"/>
    </xf>
    <xf numFmtId="0" fontId="97" fillId="0" borderId="0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Border="1" applyAlignment="1">
      <alignment horizontal="center"/>
    </xf>
    <xf numFmtId="0" fontId="9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7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10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103" fillId="0" borderId="10" xfId="68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4" fontId="14" fillId="0" borderId="32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vertical="center" wrapText="1"/>
    </xf>
    <xf numFmtId="0" fontId="18" fillId="35" borderId="39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9" fillId="36" borderId="4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36" borderId="43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4" fontId="18" fillId="35" borderId="44" xfId="0" applyNumberFormat="1" applyFont="1" applyFill="1" applyBorder="1" applyAlignment="1">
      <alignment horizontal="center" vertical="center"/>
    </xf>
    <xf numFmtId="4" fontId="18" fillId="35" borderId="45" xfId="0" applyNumberFormat="1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3" fontId="18" fillId="36" borderId="10" xfId="0" applyNumberFormat="1" applyFont="1" applyFill="1" applyBorder="1" applyAlignment="1">
      <alignment horizontal="center" vertical="center"/>
    </xf>
    <xf numFmtId="3" fontId="18" fillId="35" borderId="20" xfId="0" applyNumberFormat="1" applyFont="1" applyFill="1" applyBorder="1" applyAlignment="1">
      <alignment horizontal="center" vertical="center"/>
    </xf>
    <xf numFmtId="3" fontId="18" fillId="35" borderId="38" xfId="0" applyNumberFormat="1" applyFont="1" applyFill="1" applyBorder="1" applyAlignment="1">
      <alignment horizontal="center" vertical="center"/>
    </xf>
    <xf numFmtId="3" fontId="18" fillId="35" borderId="22" xfId="0" applyNumberFormat="1" applyFont="1" applyFill="1" applyBorder="1" applyAlignment="1">
      <alignment horizontal="center" vertical="center"/>
    </xf>
    <xf numFmtId="3" fontId="16" fillId="36" borderId="10" xfId="0" applyNumberFormat="1" applyFont="1" applyFill="1" applyBorder="1" applyAlignment="1">
      <alignment horizontal="center" vertical="center"/>
    </xf>
    <xf numFmtId="3" fontId="16" fillId="36" borderId="4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right" vertical="center"/>
    </xf>
    <xf numFmtId="3" fontId="16" fillId="35" borderId="47" xfId="0" applyNumberFormat="1" applyFont="1" applyFill="1" applyBorder="1" applyAlignment="1">
      <alignment horizontal="center" vertical="center"/>
    </xf>
    <xf numFmtId="14" fontId="22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48" xfId="0" applyFont="1" applyBorder="1" applyAlignment="1">
      <alignment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9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left" vertical="center" wrapText="1"/>
      <protection/>
    </xf>
    <xf numFmtId="0" fontId="10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05" fillId="37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194" fontId="104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04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2" fontId="105" fillId="0" borderId="10" xfId="0" applyNumberFormat="1" applyFont="1" applyBorder="1" applyAlignment="1">
      <alignment horizontal="right"/>
    </xf>
    <xf numFmtId="2" fontId="105" fillId="0" borderId="10" xfId="0" applyNumberFormat="1" applyFont="1" applyBorder="1" applyAlignment="1">
      <alignment/>
    </xf>
    <xf numFmtId="2" fontId="105" fillId="0" borderId="16" xfId="0" applyNumberFormat="1" applyFont="1" applyBorder="1" applyAlignment="1">
      <alignment/>
    </xf>
    <xf numFmtId="4" fontId="104" fillId="0" borderId="10" xfId="0" applyNumberFormat="1" applyFont="1" applyBorder="1" applyAlignment="1">
      <alignment horizontal="center" vertical="center"/>
    </xf>
    <xf numFmtId="196" fontId="104" fillId="0" borderId="10" xfId="0" applyNumberFormat="1" applyFont="1" applyBorder="1" applyAlignment="1">
      <alignment horizontal="center" vertical="center"/>
    </xf>
    <xf numFmtId="4" fontId="105" fillId="0" borderId="16" xfId="0" applyNumberFormat="1" applyFont="1" applyBorder="1" applyAlignment="1">
      <alignment/>
    </xf>
    <xf numFmtId="0" fontId="18" fillId="35" borderId="5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04" fillId="0" borderId="10" xfId="0" applyFont="1" applyBorder="1" applyAlignment="1">
      <alignment horizontal="center" vertical="center"/>
    </xf>
    <xf numFmtId="4" fontId="105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04" fillId="0" borderId="43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04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3" fillId="36" borderId="52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3" fontId="18" fillId="35" borderId="17" xfId="0" applyNumberFormat="1" applyFont="1" applyFill="1" applyBorder="1" applyAlignment="1">
      <alignment horizontal="center" vertical="center"/>
    </xf>
    <xf numFmtId="4" fontId="18" fillId="33" borderId="22" xfId="68" applyNumberFormat="1" applyFont="1" applyFill="1" applyBorder="1" applyAlignment="1">
      <alignment vertical="center" wrapText="1"/>
    </xf>
    <xf numFmtId="0" fontId="19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/>
    </xf>
    <xf numFmtId="177" fontId="4" fillId="0" borderId="10" xfId="68" applyFont="1" applyBorder="1" applyAlignment="1">
      <alignment horizontal="center" vertical="center"/>
    </xf>
    <xf numFmtId="177" fontId="4" fillId="0" borderId="53" xfId="68" applyFont="1" applyBorder="1" applyAlignment="1">
      <alignment horizontal="center"/>
    </xf>
    <xf numFmtId="0" fontId="4" fillId="0" borderId="10" xfId="68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99" fontId="98" fillId="0" borderId="54" xfId="69" applyFont="1" applyFill="1" applyBorder="1" applyAlignment="1">
      <alignment horizontal="center" vertical="center" wrapText="1"/>
    </xf>
    <xf numFmtId="0" fontId="98" fillId="0" borderId="55" xfId="69" applyNumberFormat="1" applyFont="1" applyFill="1" applyBorder="1" applyAlignment="1">
      <alignment horizontal="center" vertical="center" wrapText="1"/>
    </xf>
    <xf numFmtId="10" fontId="30" fillId="0" borderId="54" xfId="57" applyNumberFormat="1" applyFont="1" applyBorder="1" applyAlignment="1">
      <alignment vertical="center"/>
    </xf>
    <xf numFmtId="166" fontId="30" fillId="0" borderId="54" xfId="57" applyNumberFormat="1" applyFont="1" applyBorder="1" applyAlignment="1">
      <alignment vertical="center"/>
    </xf>
    <xf numFmtId="166" fontId="30" fillId="0" borderId="56" xfId="49" applyNumberFormat="1" applyFont="1" applyBorder="1" applyAlignment="1">
      <alignment vertical="center"/>
    </xf>
    <xf numFmtId="169" fontId="30" fillId="0" borderId="56" xfId="49" applyNumberFormat="1" applyFont="1" applyBorder="1" applyAlignment="1">
      <alignment vertical="center"/>
    </xf>
    <xf numFmtId="202" fontId="0" fillId="0" borderId="0" xfId="0" applyNumberFormat="1" applyAlignment="1">
      <alignment horizontal="right"/>
    </xf>
    <xf numFmtId="201" fontId="8" fillId="0" borderId="10" xfId="49" applyFont="1" applyBorder="1" applyAlignment="1">
      <alignment horizontal="right" vertical="center"/>
    </xf>
    <xf numFmtId="10" fontId="8" fillId="0" borderId="43" xfId="49" applyNumberFormat="1" applyFont="1" applyBorder="1" applyAlignment="1">
      <alignment horizontal="center" vertical="center"/>
    </xf>
    <xf numFmtId="1" fontId="3" fillId="0" borderId="24" xfId="51" applyNumberFormat="1" applyFont="1" applyFill="1" applyBorder="1" applyAlignment="1">
      <alignment vertical="top"/>
      <protection/>
    </xf>
    <xf numFmtId="166" fontId="3" fillId="0" borderId="54" xfId="49" applyNumberFormat="1" applyFont="1" applyBorder="1" applyAlignment="1">
      <alignment vertical="top"/>
    </xf>
    <xf numFmtId="10" fontId="30" fillId="0" borderId="57" xfId="49" applyNumberFormat="1" applyFont="1" applyBorder="1" applyAlignment="1">
      <alignment vertical="top"/>
    </xf>
    <xf numFmtId="166" fontId="3" fillId="0" borderId="58" xfId="49" applyNumberFormat="1" applyFont="1" applyBorder="1" applyAlignment="1">
      <alignment vertical="top"/>
    </xf>
    <xf numFmtId="166" fontId="3" fillId="0" borderId="57" xfId="49" applyNumberFormat="1" applyFont="1" applyBorder="1" applyAlignment="1">
      <alignment vertical="top"/>
    </xf>
    <xf numFmtId="1" fontId="3" fillId="0" borderId="25" xfId="51" applyNumberFormat="1" applyFont="1" applyFill="1" applyBorder="1" applyAlignment="1">
      <alignment vertical="top"/>
      <protection/>
    </xf>
    <xf numFmtId="10" fontId="30" fillId="0" borderId="56" xfId="49" applyNumberFormat="1" applyFont="1" applyBorder="1" applyAlignment="1">
      <alignment vertical="top"/>
    </xf>
    <xf numFmtId="0" fontId="16" fillId="36" borderId="59" xfId="0" applyFont="1" applyFill="1" applyBorder="1" applyAlignment="1">
      <alignment vertical="center"/>
    </xf>
    <xf numFmtId="0" fontId="16" fillId="36" borderId="60" xfId="0" applyFont="1" applyFill="1" applyBorder="1" applyAlignment="1">
      <alignment vertical="center" wrapText="1"/>
    </xf>
    <xf numFmtId="176" fontId="0" fillId="0" borderId="0" xfId="47" applyFont="1" applyAlignment="1">
      <alignment horizontal="right"/>
    </xf>
    <xf numFmtId="204" fontId="104" fillId="0" borderId="10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76" fontId="16" fillId="36" borderId="61" xfId="47" applyFont="1" applyFill="1" applyBorder="1" applyAlignment="1">
      <alignment horizontal="center" vertical="center"/>
    </xf>
    <xf numFmtId="176" fontId="16" fillId="36" borderId="46" xfId="47" applyFont="1" applyFill="1" applyBorder="1" applyAlignment="1">
      <alignment horizontal="center" vertical="center"/>
    </xf>
    <xf numFmtId="176" fontId="17" fillId="36" borderId="28" xfId="47" applyFont="1" applyFill="1" applyBorder="1" applyAlignment="1">
      <alignment horizontal="center" vertical="center"/>
    </xf>
    <xf numFmtId="176" fontId="18" fillId="35" borderId="62" xfId="47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vertical="center" wrapText="1"/>
    </xf>
    <xf numFmtId="0" fontId="21" fillId="35" borderId="20" xfId="0" applyFont="1" applyFill="1" applyBorder="1" applyAlignment="1">
      <alignment vertical="center" wrapText="1"/>
    </xf>
    <xf numFmtId="176" fontId="18" fillId="35" borderId="64" xfId="47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vertical="center" wrapText="1"/>
    </xf>
    <xf numFmtId="4" fontId="21" fillId="0" borderId="22" xfId="0" applyNumberFormat="1" applyFont="1" applyFill="1" applyBorder="1" applyAlignment="1">
      <alignment horizontal="center" vertical="center"/>
    </xf>
    <xf numFmtId="176" fontId="18" fillId="35" borderId="65" xfId="47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3" fontId="16" fillId="35" borderId="64" xfId="0" applyNumberFormat="1" applyFont="1" applyFill="1" applyBorder="1" applyAlignment="1">
      <alignment horizontal="center" vertical="center"/>
    </xf>
    <xf numFmtId="176" fontId="0" fillId="0" borderId="0" xfId="47" applyFont="1" applyAlignment="1">
      <alignment/>
    </xf>
    <xf numFmtId="4" fontId="18" fillId="36" borderId="60" xfId="0" applyNumberFormat="1" applyFont="1" applyFill="1" applyBorder="1" applyAlignment="1">
      <alignment horizontal="center" vertical="center"/>
    </xf>
    <xf numFmtId="4" fontId="18" fillId="36" borderId="16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3" fontId="18" fillId="36" borderId="10" xfId="0" applyNumberFormat="1" applyFont="1" applyFill="1" applyBorder="1" applyAlignment="1">
      <alignment horizontal="center" vertical="center"/>
    </xf>
    <xf numFmtId="3" fontId="16" fillId="36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7" fontId="4" fillId="0" borderId="0" xfId="68" applyFont="1" applyBorder="1" applyAlignment="1">
      <alignment horizontal="center"/>
    </xf>
    <xf numFmtId="177" fontId="4" fillId="0" borderId="0" xfId="68" applyFont="1" applyBorder="1" applyAlignment="1">
      <alignment horizontal="center" vertical="center"/>
    </xf>
    <xf numFmtId="0" fontId="4" fillId="0" borderId="0" xfId="6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36" borderId="66" xfId="0" applyFont="1" applyFill="1" applyBorder="1" applyAlignment="1">
      <alignment horizontal="center" vertical="center"/>
    </xf>
    <xf numFmtId="0" fontId="17" fillId="36" borderId="68" xfId="0" applyFont="1" applyFill="1" applyBorder="1" applyAlignment="1">
      <alignment horizontal="center" vertical="center" wrapText="1"/>
    </xf>
    <xf numFmtId="0" fontId="18" fillId="36" borderId="68" xfId="0" applyFont="1" applyFill="1" applyBorder="1" applyAlignment="1">
      <alignment horizontal="center" vertical="center"/>
    </xf>
    <xf numFmtId="3" fontId="18" fillId="36" borderId="68" xfId="0" applyNumberFormat="1" applyFont="1" applyFill="1" applyBorder="1" applyAlignment="1">
      <alignment horizontal="center" vertical="center"/>
    </xf>
    <xf numFmtId="3" fontId="16" fillId="36" borderId="69" xfId="0" applyNumberFormat="1" applyFont="1" applyFill="1" applyBorder="1" applyAlignment="1">
      <alignment horizontal="center" vertical="center"/>
    </xf>
    <xf numFmtId="3" fontId="16" fillId="36" borderId="46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8" fillId="35" borderId="70" xfId="0" applyFont="1" applyFill="1" applyBorder="1" applyAlignment="1">
      <alignment horizontal="center" vertical="center"/>
    </xf>
    <xf numFmtId="3" fontId="16" fillId="35" borderId="17" xfId="0" applyNumberFormat="1" applyFont="1" applyFill="1" applyBorder="1" applyAlignment="1">
      <alignment horizontal="center" vertical="center"/>
    </xf>
    <xf numFmtId="3" fontId="16" fillId="35" borderId="62" xfId="0" applyNumberFormat="1" applyFont="1" applyFill="1" applyBorder="1" applyAlignment="1">
      <alignment horizontal="center" vertical="center"/>
    </xf>
    <xf numFmtId="0" fontId="18" fillId="35" borderId="71" xfId="0" applyFont="1" applyFill="1" applyBorder="1" applyAlignment="1">
      <alignment horizontal="center" vertical="center"/>
    </xf>
    <xf numFmtId="4" fontId="18" fillId="35" borderId="20" xfId="0" applyNumberFormat="1" applyFont="1" applyFill="1" applyBorder="1" applyAlignment="1">
      <alignment horizontal="center" vertical="center"/>
    </xf>
    <xf numFmtId="3" fontId="16" fillId="35" borderId="20" xfId="0" applyNumberFormat="1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4" fontId="18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65" xfId="0" applyNumberFormat="1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 wrapText="1"/>
    </xf>
    <xf numFmtId="0" fontId="105" fillId="37" borderId="60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2" fontId="105" fillId="0" borderId="16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106" fillId="0" borderId="0" xfId="0" applyFont="1" applyAlignment="1">
      <alignment vertical="center"/>
    </xf>
    <xf numFmtId="0" fontId="95" fillId="0" borderId="0" xfId="0" applyFont="1" applyBorder="1" applyAlignment="1">
      <alignment horizontal="left"/>
    </xf>
    <xf numFmtId="0" fontId="10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34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10" fontId="35" fillId="0" borderId="76" xfId="0" applyNumberFormat="1" applyFont="1" applyBorder="1" applyAlignment="1">
      <alignment horizontal="center"/>
    </xf>
    <xf numFmtId="10" fontId="36" fillId="38" borderId="77" xfId="0" applyNumberFormat="1" applyFont="1" applyFill="1" applyBorder="1" applyAlignment="1">
      <alignment horizontal="center" vertical="center"/>
    </xf>
    <xf numFmtId="10" fontId="36" fillId="38" borderId="78" xfId="0" applyNumberFormat="1" applyFont="1" applyFill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10" fontId="35" fillId="0" borderId="80" xfId="0" applyNumberFormat="1" applyFont="1" applyBorder="1" applyAlignment="1">
      <alignment horizontal="center"/>
    </xf>
    <xf numFmtId="10" fontId="36" fillId="38" borderId="11" xfId="0" applyNumberFormat="1" applyFont="1" applyFill="1" applyBorder="1" applyAlignment="1">
      <alignment horizontal="center" vertical="center"/>
    </xf>
    <xf numFmtId="10" fontId="36" fillId="38" borderId="14" xfId="0" applyNumberFormat="1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10" fontId="35" fillId="0" borderId="82" xfId="0" applyNumberFormat="1" applyFont="1" applyBorder="1" applyAlignment="1">
      <alignment horizontal="center"/>
    </xf>
    <xf numFmtId="10" fontId="36" fillId="38" borderId="83" xfId="0" applyNumberFormat="1" applyFont="1" applyFill="1" applyBorder="1" applyAlignment="1">
      <alignment horizontal="center" vertical="center"/>
    </xf>
    <xf numFmtId="10" fontId="36" fillId="38" borderId="84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10" fontId="35" fillId="0" borderId="86" xfId="0" applyNumberFormat="1" applyFont="1" applyBorder="1" applyAlignment="1">
      <alignment horizontal="center"/>
    </xf>
    <xf numFmtId="0" fontId="35" fillId="0" borderId="75" xfId="0" applyFont="1" applyBorder="1" applyAlignment="1">
      <alignment/>
    </xf>
    <xf numFmtId="0" fontId="35" fillId="0" borderId="79" xfId="0" applyFont="1" applyBorder="1" applyAlignment="1">
      <alignment/>
    </xf>
    <xf numFmtId="0" fontId="35" fillId="0" borderId="87" xfId="0" applyFont="1" applyBorder="1" applyAlignment="1">
      <alignment/>
    </xf>
    <xf numFmtId="10" fontId="35" fillId="0" borderId="88" xfId="0" applyNumberFormat="1" applyFont="1" applyBorder="1" applyAlignment="1">
      <alignment horizontal="center"/>
    </xf>
    <xf numFmtId="10" fontId="34" fillId="0" borderId="89" xfId="0" applyNumberFormat="1" applyFont="1" applyBorder="1" applyAlignment="1">
      <alignment horizontal="center"/>
    </xf>
    <xf numFmtId="10" fontId="34" fillId="0" borderId="74" xfId="0" applyNumberFormat="1" applyFont="1" applyBorder="1" applyAlignment="1">
      <alignment horizontal="center" vertical="center"/>
    </xf>
    <xf numFmtId="10" fontId="36" fillId="38" borderId="90" xfId="0" applyNumberFormat="1" applyFont="1" applyFill="1" applyBorder="1" applyAlignment="1">
      <alignment horizontal="center" vertical="center"/>
    </xf>
    <xf numFmtId="10" fontId="36" fillId="38" borderId="91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10" fontId="39" fillId="0" borderId="0" xfId="0" applyNumberFormat="1" applyFont="1" applyBorder="1" applyAlignment="1">
      <alignment horizontal="center" vertical="center"/>
    </xf>
    <xf numFmtId="0" fontId="97" fillId="0" borderId="20" xfId="0" applyFont="1" applyBorder="1" applyAlignment="1">
      <alignment horizontal="justify" vertical="center" wrapText="1"/>
    </xf>
    <xf numFmtId="0" fontId="99" fillId="34" borderId="0" xfId="0" applyFont="1" applyFill="1" applyAlignment="1">
      <alignment horizontal="left" vertical="center" wrapText="1"/>
    </xf>
    <xf numFmtId="0" fontId="96" fillId="0" borderId="24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0" fontId="96" fillId="0" borderId="92" xfId="0" applyFont="1" applyBorder="1" applyAlignment="1">
      <alignment horizontal="justify" vertical="center" wrapText="1"/>
    </xf>
    <xf numFmtId="0" fontId="96" fillId="0" borderId="23" xfId="0" applyFont="1" applyBorder="1" applyAlignment="1">
      <alignment horizontal="justify" vertical="center" wrapText="1"/>
    </xf>
    <xf numFmtId="0" fontId="107" fillId="0" borderId="93" xfId="0" applyFont="1" applyBorder="1" applyAlignment="1">
      <alignment horizontal="left" vertical="center"/>
    </xf>
    <xf numFmtId="0" fontId="97" fillId="0" borderId="94" xfId="0" applyFont="1" applyBorder="1" applyAlignment="1">
      <alignment horizontal="center" vertical="center" wrapText="1"/>
    </xf>
    <xf numFmtId="0" fontId="97" fillId="0" borderId="95" xfId="0" applyFont="1" applyBorder="1" applyAlignment="1">
      <alignment horizontal="center" vertical="center" wrapText="1"/>
    </xf>
    <xf numFmtId="0" fontId="99" fillId="34" borderId="0" xfId="0" applyFont="1" applyFill="1" applyAlignment="1">
      <alignment horizontal="left" vertical="center"/>
    </xf>
    <xf numFmtId="0" fontId="98" fillId="0" borderId="0" xfId="0" applyFont="1" applyAlignment="1">
      <alignment horizontal="center" vertical="center" wrapText="1"/>
    </xf>
    <xf numFmtId="0" fontId="97" fillId="0" borderId="92" xfId="0" applyFont="1" applyBorder="1" applyAlignment="1">
      <alignment horizontal="justify" vertical="center" wrapText="1"/>
    </xf>
    <xf numFmtId="0" fontId="97" fillId="0" borderId="23" xfId="0" applyFont="1" applyBorder="1" applyAlignment="1">
      <alignment horizontal="justify" vertical="center" wrapText="1"/>
    </xf>
    <xf numFmtId="0" fontId="97" fillId="0" borderId="21" xfId="0" applyFont="1" applyBorder="1" applyAlignment="1">
      <alignment horizontal="justify" vertical="center" wrapText="1"/>
    </xf>
    <xf numFmtId="0" fontId="97" fillId="0" borderId="21" xfId="0" applyFont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justify" vertical="center"/>
    </xf>
    <xf numFmtId="0" fontId="97" fillId="0" borderId="0" xfId="0" applyFont="1" applyAlignment="1">
      <alignment horizontal="justify"/>
    </xf>
    <xf numFmtId="0" fontId="97" fillId="0" borderId="20" xfId="0" applyFont="1" applyBorder="1" applyAlignment="1">
      <alignment horizontal="left" vertical="center" wrapText="1"/>
    </xf>
    <xf numFmtId="0" fontId="108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97" fillId="0" borderId="22" xfId="0" applyFont="1" applyBorder="1" applyAlignment="1">
      <alignment horizontal="left" vertical="center" wrapText="1"/>
    </xf>
    <xf numFmtId="0" fontId="18" fillId="0" borderId="96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5" fillId="0" borderId="98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4" fontId="18" fillId="33" borderId="19" xfId="68" applyNumberFormat="1" applyFont="1" applyFill="1" applyBorder="1" applyAlignment="1">
      <alignment horizontal="center" vertical="center" wrapText="1"/>
    </xf>
    <xf numFmtId="4" fontId="18" fillId="33" borderId="18" xfId="68" applyNumberFormat="1" applyFont="1" applyFill="1" applyBorder="1" applyAlignment="1">
      <alignment horizontal="center" vertical="center" wrapText="1"/>
    </xf>
    <xf numFmtId="4" fontId="18" fillId="33" borderId="38" xfId="68" applyNumberFormat="1" applyFont="1" applyFill="1" applyBorder="1" applyAlignment="1">
      <alignment horizontal="center" vertical="center" wrapText="1"/>
    </xf>
    <xf numFmtId="4" fontId="18" fillId="33" borderId="16" xfId="68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3" fontId="18" fillId="0" borderId="38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/>
    </xf>
    <xf numFmtId="0" fontId="21" fillId="0" borderId="104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104" xfId="0" applyNumberFormat="1" applyFont="1" applyFill="1" applyBorder="1" applyAlignment="1">
      <alignment horizontal="center" vertical="center"/>
    </xf>
    <xf numFmtId="3" fontId="16" fillId="0" borderId="105" xfId="0" applyNumberFormat="1" applyFont="1" applyFill="1" applyBorder="1" applyAlignment="1">
      <alignment horizontal="center" vertical="center"/>
    </xf>
    <xf numFmtId="4" fontId="21" fillId="0" borderId="38" xfId="0" applyNumberFormat="1" applyFont="1" applyFill="1" applyBorder="1" applyAlignment="1">
      <alignment horizontal="center" vertical="center"/>
    </xf>
    <xf numFmtId="4" fontId="21" fillId="0" borderId="104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4" fontId="21" fillId="0" borderId="60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3" fontId="16" fillId="0" borderId="107" xfId="0" applyNumberFormat="1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3" fontId="18" fillId="0" borderId="19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3" fontId="18" fillId="36" borderId="10" xfId="0" applyNumberFormat="1" applyFont="1" applyFill="1" applyBorder="1" applyAlignment="1">
      <alignment horizontal="center" vertical="center"/>
    </xf>
    <xf numFmtId="3" fontId="16" fillId="36" borderId="10" xfId="0" applyNumberFormat="1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4" fontId="18" fillId="36" borderId="60" xfId="0" applyNumberFormat="1" applyFont="1" applyFill="1" applyBorder="1" applyAlignment="1">
      <alignment horizontal="center" vertical="center"/>
    </xf>
    <xf numFmtId="4" fontId="18" fillId="36" borderId="16" xfId="0" applyNumberFormat="1" applyFont="1" applyFill="1" applyBorder="1" applyAlignment="1">
      <alignment horizontal="center" vertical="center"/>
    </xf>
    <xf numFmtId="3" fontId="18" fillId="33" borderId="38" xfId="68" applyNumberFormat="1" applyFont="1" applyFill="1" applyBorder="1" applyAlignment="1">
      <alignment horizontal="center" vertical="center" wrapText="1"/>
    </xf>
    <xf numFmtId="3" fontId="18" fillId="33" borderId="19" xfId="68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 wrapText="1"/>
    </xf>
    <xf numFmtId="0" fontId="17" fillId="0" borderId="111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3" fontId="18" fillId="33" borderId="18" xfId="68" applyNumberFormat="1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/>
    </xf>
    <xf numFmtId="4" fontId="18" fillId="0" borderId="60" xfId="0" applyNumberFormat="1" applyFont="1" applyFill="1" applyBorder="1" applyAlignment="1">
      <alignment horizontal="center" vertical="center"/>
    </xf>
    <xf numFmtId="4" fontId="18" fillId="0" borderId="59" xfId="0" applyNumberFormat="1" applyFont="1" applyFill="1" applyBorder="1" applyAlignment="1">
      <alignment horizontal="center" vertical="center"/>
    </xf>
    <xf numFmtId="4" fontId="18" fillId="0" borderId="109" xfId="0" applyNumberFormat="1" applyFont="1" applyFill="1" applyBorder="1" applyAlignment="1">
      <alignment horizontal="center" vertical="center"/>
    </xf>
    <xf numFmtId="177" fontId="4" fillId="0" borderId="0" xfId="68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4" fillId="0" borderId="60" xfId="68" applyFont="1" applyBorder="1" applyAlignment="1">
      <alignment horizontal="center" vertical="center"/>
    </xf>
    <xf numFmtId="177" fontId="4" fillId="0" borderId="16" xfId="68" applyFont="1" applyBorder="1" applyAlignment="1">
      <alignment horizontal="center" vertical="center"/>
    </xf>
    <xf numFmtId="177" fontId="0" fillId="39" borderId="60" xfId="68" applyFont="1" applyFill="1" applyBorder="1" applyAlignment="1">
      <alignment horizontal="center" vertical="center"/>
    </xf>
    <xf numFmtId="177" fontId="0" fillId="39" borderId="16" xfId="68" applyFont="1" applyFill="1" applyBorder="1" applyAlignment="1">
      <alignment horizontal="center" vertical="center"/>
    </xf>
    <xf numFmtId="177" fontId="0" fillId="39" borderId="59" xfId="68" applyFont="1" applyFill="1" applyBorder="1" applyAlignment="1">
      <alignment horizontal="center" vertical="center"/>
    </xf>
    <xf numFmtId="177" fontId="0" fillId="39" borderId="109" xfId="68" applyFont="1" applyFill="1" applyBorder="1" applyAlignment="1">
      <alignment horizontal="center" vertical="center"/>
    </xf>
    <xf numFmtId="177" fontId="0" fillId="0" borderId="60" xfId="68" applyFont="1" applyBorder="1" applyAlignment="1">
      <alignment horizontal="center" vertical="center"/>
    </xf>
    <xf numFmtId="177" fontId="0" fillId="0" borderId="16" xfId="68" applyFont="1" applyBorder="1" applyAlignment="1">
      <alignment horizontal="center" vertical="center"/>
    </xf>
    <xf numFmtId="177" fontId="0" fillId="0" borderId="59" xfId="68" applyFont="1" applyBorder="1" applyAlignment="1">
      <alignment horizontal="center" vertical="center"/>
    </xf>
    <xf numFmtId="177" fontId="0" fillId="0" borderId="109" xfId="68" applyFont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4" fontId="18" fillId="33" borderId="17" xfId="68" applyNumberFormat="1" applyFont="1" applyFill="1" applyBorder="1" applyAlignment="1">
      <alignment horizontal="center" vertical="center" wrapText="1"/>
    </xf>
    <xf numFmtId="4" fontId="18" fillId="33" borderId="20" xfId="68" applyNumberFormat="1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/>
    </xf>
    <xf numFmtId="3" fontId="18" fillId="33" borderId="20" xfId="68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/>
    </xf>
    <xf numFmtId="3" fontId="16" fillId="0" borderId="64" xfId="0" applyNumberFormat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20" fontId="18" fillId="33" borderId="60" xfId="68" applyNumberFormat="1" applyFont="1" applyFill="1" applyBorder="1" applyAlignment="1">
      <alignment horizontal="center" vertical="center" wrapText="1"/>
    </xf>
    <xf numFmtId="0" fontId="18" fillId="33" borderId="18" xfId="68" applyNumberFormat="1" applyFont="1" applyFill="1" applyBorder="1" applyAlignment="1">
      <alignment horizontal="center" vertical="center" wrapText="1"/>
    </xf>
    <xf numFmtId="3" fontId="18" fillId="33" borderId="17" xfId="68" applyNumberFormat="1" applyFont="1" applyFill="1" applyBorder="1" applyAlignment="1">
      <alignment horizontal="center" vertical="center" wrapText="1"/>
    </xf>
    <xf numFmtId="3" fontId="16" fillId="0" borderId="62" xfId="0" applyNumberFormat="1" applyFont="1" applyFill="1" applyBorder="1" applyAlignment="1">
      <alignment horizontal="center" vertical="center"/>
    </xf>
    <xf numFmtId="3" fontId="16" fillId="36" borderId="46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18" fillId="33" borderId="20" xfId="68" applyNumberFormat="1" applyFont="1" applyFill="1" applyBorder="1" applyAlignment="1">
      <alignment horizontal="center" vertical="center" wrapText="1"/>
    </xf>
    <xf numFmtId="4" fontId="18" fillId="33" borderId="22" xfId="68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191" fontId="18" fillId="0" borderId="18" xfId="0" applyNumberFormat="1" applyFont="1" applyFill="1" applyBorder="1" applyAlignment="1">
      <alignment horizontal="center" vertical="center"/>
    </xf>
    <xf numFmtId="191" fontId="18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/>
    </xf>
    <xf numFmtId="4" fontId="16" fillId="0" borderId="103" xfId="0" applyNumberFormat="1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left" vertical="center" wrapText="1"/>
    </xf>
    <xf numFmtId="0" fontId="18" fillId="0" borderId="115" xfId="0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15" xfId="0" applyNumberFormat="1" applyFont="1" applyFill="1" applyBorder="1" applyAlignment="1">
      <alignment horizontal="center" vertical="center"/>
    </xf>
    <xf numFmtId="191" fontId="21" fillId="0" borderId="17" xfId="0" applyNumberFormat="1" applyFont="1" applyFill="1" applyBorder="1" applyAlignment="1">
      <alignment horizontal="center" vertical="center"/>
    </xf>
    <xf numFmtId="191" fontId="21" fillId="0" borderId="115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21" fillId="0" borderId="115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top" wrapText="1"/>
    </xf>
    <xf numFmtId="3" fontId="16" fillId="0" borderId="116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191" fontId="21" fillId="0" borderId="18" xfId="0" applyNumberFormat="1" applyFont="1" applyFill="1" applyBorder="1" applyAlignment="1">
      <alignment horizontal="center" vertical="center"/>
    </xf>
    <xf numFmtId="191" fontId="21" fillId="0" borderId="20" xfId="0" applyNumberFormat="1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3" fontId="18" fillId="33" borderId="22" xfId="68" applyNumberFormat="1" applyFont="1" applyFill="1" applyBorder="1" applyAlignment="1">
      <alignment horizontal="center" vertical="center" wrapText="1"/>
    </xf>
    <xf numFmtId="4" fontId="16" fillId="0" borderId="107" xfId="0" applyNumberFormat="1" applyFont="1" applyFill="1" applyBorder="1" applyAlignment="1">
      <alignment horizontal="center" vertical="center"/>
    </xf>
    <xf numFmtId="3" fontId="16" fillId="0" borderId="65" xfId="0" applyNumberFormat="1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39" borderId="60" xfId="0" applyNumberFormat="1" applyFont="1" applyFill="1" applyBorder="1" applyAlignment="1">
      <alignment horizontal="center" vertical="center"/>
    </xf>
    <xf numFmtId="177" fontId="4" fillId="39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1" xfId="0" applyBorder="1" applyAlignment="1">
      <alignment horizontal="center"/>
    </xf>
    <xf numFmtId="0" fontId="13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7" fontId="4" fillId="0" borderId="0" xfId="68" applyFont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76" fontId="18" fillId="0" borderId="64" xfId="47" applyFont="1" applyFill="1" applyBorder="1" applyAlignment="1">
      <alignment horizontal="center" vertical="center"/>
    </xf>
    <xf numFmtId="177" fontId="4" fillId="0" borderId="0" xfId="68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0" fillId="0" borderId="0" xfId="68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176" fontId="18" fillId="0" borderId="65" xfId="47" applyFont="1" applyFill="1" applyBorder="1" applyAlignment="1">
      <alignment horizontal="center" vertical="center"/>
    </xf>
    <xf numFmtId="176" fontId="18" fillId="0" borderId="62" xfId="47" applyFont="1" applyFill="1" applyBorder="1" applyAlignment="1">
      <alignment horizontal="center" vertical="center"/>
    </xf>
    <xf numFmtId="176" fontId="18" fillId="0" borderId="107" xfId="47" applyFont="1" applyFill="1" applyBorder="1" applyAlignment="1">
      <alignment horizontal="center" vertical="center"/>
    </xf>
    <xf numFmtId="176" fontId="18" fillId="0" borderId="119" xfId="47" applyFont="1" applyFill="1" applyBorder="1" applyAlignment="1">
      <alignment horizontal="center" vertical="center"/>
    </xf>
    <xf numFmtId="176" fontId="18" fillId="0" borderId="116" xfId="47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3" fillId="36" borderId="120" xfId="0" applyFont="1" applyFill="1" applyBorder="1" applyAlignment="1">
      <alignment horizontal="center" vertical="center"/>
    </xf>
    <xf numFmtId="4" fontId="18" fillId="33" borderId="115" xfId="68" applyNumberFormat="1" applyFont="1" applyFill="1" applyBorder="1" applyAlignment="1">
      <alignment horizontal="center" vertical="center" wrapText="1"/>
    </xf>
    <xf numFmtId="4" fontId="18" fillId="0" borderId="115" xfId="0" applyNumberFormat="1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7" fillId="36" borderId="121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106" xfId="0" applyFont="1" applyBorder="1" applyAlignment="1">
      <alignment horizontal="left" vertical="center" wrapText="1"/>
    </xf>
    <xf numFmtId="4" fontId="14" fillId="36" borderId="26" xfId="68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5" fillId="0" borderId="122" xfId="54" applyFont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98" fillId="0" borderId="16" xfId="54" applyFont="1" applyFill="1" applyBorder="1" applyAlignment="1">
      <alignment horizontal="center" vertical="center" wrapText="1"/>
      <protection/>
    </xf>
    <xf numFmtId="0" fontId="98" fillId="0" borderId="10" xfId="54" applyFont="1" applyFill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left" vertical="center" wrapText="1"/>
      <protection/>
    </xf>
    <xf numFmtId="3" fontId="30" fillId="0" borderId="11" xfId="53" applyNumberFormat="1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200" fontId="6" fillId="0" borderId="10" xfId="69" applyNumberFormat="1" applyFont="1" applyBorder="1" applyAlignment="1">
      <alignment horizontal="center" vertical="center"/>
    </xf>
    <xf numFmtId="0" fontId="98" fillId="0" borderId="77" xfId="54" applyFont="1" applyFill="1" applyBorder="1" applyAlignment="1">
      <alignment horizontal="center" vertical="center" wrapText="1"/>
      <protection/>
    </xf>
    <xf numFmtId="0" fontId="98" fillId="0" borderId="11" xfId="54" applyFont="1" applyFill="1" applyBorder="1" applyAlignment="1">
      <alignment horizontal="center" vertical="center" wrapText="1"/>
      <protection/>
    </xf>
    <xf numFmtId="10" fontId="25" fillId="33" borderId="43" xfId="57" applyNumberFormat="1" applyFont="1" applyFill="1" applyBorder="1" applyAlignment="1">
      <alignment horizontal="center" vertical="center" wrapText="1"/>
    </xf>
    <xf numFmtId="199" fontId="98" fillId="0" borderId="123" xfId="69" applyFont="1" applyFill="1" applyBorder="1" applyAlignment="1">
      <alignment horizontal="center" vertical="center" wrapText="1"/>
    </xf>
    <xf numFmtId="199" fontId="98" fillId="0" borderId="43" xfId="69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/>
    </xf>
    <xf numFmtId="0" fontId="29" fillId="0" borderId="125" xfId="0" applyFont="1" applyBorder="1" applyAlignment="1">
      <alignment horizontal="left" vertical="center" wrapText="1"/>
    </xf>
    <xf numFmtId="0" fontId="29" fillId="0" borderId="126" xfId="0" applyFont="1" applyBorder="1" applyAlignment="1">
      <alignment horizontal="left" vertical="center" wrapText="1"/>
    </xf>
    <xf numFmtId="0" fontId="27" fillId="0" borderId="127" xfId="0" applyFont="1" applyBorder="1" applyAlignment="1">
      <alignment horizontal="left" vertical="center" wrapText="1"/>
    </xf>
    <xf numFmtId="0" fontId="27" fillId="0" borderId="128" xfId="0" applyFont="1" applyBorder="1" applyAlignment="1">
      <alignment horizontal="left" vertical="center" wrapText="1"/>
    </xf>
    <xf numFmtId="0" fontId="27" fillId="0" borderId="12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130" xfId="0" applyFont="1" applyBorder="1" applyAlignment="1">
      <alignment horizontal="left" vertical="center"/>
    </xf>
    <xf numFmtId="0" fontId="29" fillId="0" borderId="13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4" fontId="27" fillId="0" borderId="50" xfId="0" applyNumberFormat="1" applyFont="1" applyBorder="1" applyAlignment="1">
      <alignment horizontal="left" vertical="center" wrapText="1"/>
    </xf>
    <xf numFmtId="4" fontId="27" fillId="0" borderId="52" xfId="0" applyNumberFormat="1" applyFont="1" applyBorder="1" applyAlignment="1">
      <alignment horizontal="left" vertical="center" wrapText="1"/>
    </xf>
    <xf numFmtId="4" fontId="27" fillId="0" borderId="130" xfId="0" applyNumberFormat="1" applyFont="1" applyBorder="1" applyAlignment="1">
      <alignment horizontal="left" vertical="center" wrapText="1"/>
    </xf>
    <xf numFmtId="200" fontId="6" fillId="0" borderId="60" xfId="69" applyNumberFormat="1" applyFont="1" applyBorder="1" applyAlignment="1">
      <alignment horizontal="center" vertical="center"/>
    </xf>
    <xf numFmtId="200" fontId="6" fillId="0" borderId="16" xfId="69" applyNumberFormat="1" applyFont="1" applyBorder="1" applyAlignment="1">
      <alignment horizontal="center" vertical="center"/>
    </xf>
    <xf numFmtId="0" fontId="11" fillId="37" borderId="132" xfId="51" applyFont="1" applyFill="1" applyBorder="1" applyAlignment="1">
      <alignment horizontal="center" vertical="center"/>
      <protection/>
    </xf>
    <xf numFmtId="0" fontId="11" fillId="37" borderId="133" xfId="51" applyFont="1" applyFill="1" applyBorder="1" applyAlignment="1">
      <alignment horizontal="center" vertical="center"/>
      <protection/>
    </xf>
    <xf numFmtId="0" fontId="11" fillId="37" borderId="134" xfId="51" applyFont="1" applyFill="1" applyBorder="1" applyAlignment="1">
      <alignment horizontal="center" vertical="center"/>
      <protection/>
    </xf>
    <xf numFmtId="0" fontId="28" fillId="0" borderId="135" xfId="54" applyFont="1" applyBorder="1" applyAlignment="1">
      <alignment horizontal="center" vertical="center"/>
      <protection/>
    </xf>
    <xf numFmtId="0" fontId="28" fillId="0" borderId="122" xfId="54" applyFont="1" applyBorder="1" applyAlignment="1">
      <alignment horizontal="center" vertical="center"/>
      <protection/>
    </xf>
    <xf numFmtId="0" fontId="28" fillId="0" borderId="136" xfId="54" applyFont="1" applyBorder="1" applyAlignment="1">
      <alignment horizontal="center" vertical="center"/>
      <protection/>
    </xf>
    <xf numFmtId="0" fontId="28" fillId="0" borderId="137" xfId="54" applyFont="1" applyBorder="1" applyAlignment="1">
      <alignment horizontal="center" vertical="center"/>
      <protection/>
    </xf>
    <xf numFmtId="0" fontId="28" fillId="0" borderId="124" xfId="54" applyFont="1" applyBorder="1" applyAlignment="1">
      <alignment horizontal="center" vertical="center"/>
      <protection/>
    </xf>
    <xf numFmtId="0" fontId="28" fillId="0" borderId="138" xfId="54" applyFont="1" applyBorder="1" applyAlignment="1">
      <alignment horizontal="center" vertical="center"/>
      <protection/>
    </xf>
    <xf numFmtId="1" fontId="3" fillId="0" borderId="139" xfId="51" applyNumberFormat="1" applyFont="1" applyFill="1" applyBorder="1" applyAlignment="1">
      <alignment horizontal="center" vertical="top"/>
      <protection/>
    </xf>
    <xf numFmtId="1" fontId="3" fillId="0" borderId="25" xfId="51" applyNumberFormat="1" applyFont="1" applyFill="1" applyBorder="1" applyAlignment="1">
      <alignment horizontal="center" vertical="top"/>
      <protection/>
    </xf>
    <xf numFmtId="0" fontId="3" fillId="0" borderId="11" xfId="53" applyFont="1" applyBorder="1" applyAlignment="1">
      <alignment horizontal="right" vertical="center"/>
      <protection/>
    </xf>
    <xf numFmtId="0" fontId="3" fillId="0" borderId="10" xfId="53" applyFont="1" applyBorder="1" applyAlignment="1">
      <alignment horizontal="right" vertical="center"/>
      <protection/>
    </xf>
    <xf numFmtId="0" fontId="30" fillId="0" borderId="140" xfId="53" applyFont="1" applyBorder="1" applyAlignment="1">
      <alignment horizontal="center" vertical="center"/>
      <protection/>
    </xf>
    <xf numFmtId="0" fontId="30" fillId="0" borderId="141" xfId="53" applyFont="1" applyBorder="1" applyAlignment="1">
      <alignment horizontal="center" vertical="center"/>
      <protection/>
    </xf>
    <xf numFmtId="0" fontId="30" fillId="0" borderId="73" xfId="53" applyFont="1" applyBorder="1" applyAlignment="1">
      <alignment horizontal="center" vertical="center"/>
      <protection/>
    </xf>
    <xf numFmtId="1" fontId="3" fillId="0" borderId="142" xfId="51" applyNumberFormat="1" applyFont="1" applyFill="1" applyBorder="1" applyAlignment="1">
      <alignment horizontal="center" vertical="top"/>
      <protection/>
    </xf>
    <xf numFmtId="1" fontId="3" fillId="0" borderId="24" xfId="51" applyNumberFormat="1" applyFont="1" applyFill="1" applyBorder="1" applyAlignment="1">
      <alignment horizontal="center" vertical="top"/>
      <protection/>
    </xf>
    <xf numFmtId="0" fontId="104" fillId="0" borderId="43" xfId="0" applyFont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104" fillId="0" borderId="40" xfId="0" applyFont="1" applyBorder="1" applyAlignment="1">
      <alignment horizontal="center"/>
    </xf>
    <xf numFmtId="0" fontId="105" fillId="0" borderId="43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40" xfId="0" applyFont="1" applyBorder="1" applyAlignment="1">
      <alignment horizontal="left" vertical="center" wrapText="1"/>
    </xf>
    <xf numFmtId="0" fontId="105" fillId="37" borderId="43" xfId="0" applyFont="1" applyFill="1" applyBorder="1" applyAlignment="1">
      <alignment horizontal="left" vertical="center"/>
    </xf>
    <xf numFmtId="0" fontId="105" fillId="37" borderId="40" xfId="0" applyFont="1" applyFill="1" applyBorder="1" applyAlignment="1">
      <alignment horizontal="left" vertical="center"/>
    </xf>
    <xf numFmtId="0" fontId="105" fillId="0" borderId="43" xfId="0" applyFont="1" applyFill="1" applyBorder="1" applyAlignment="1">
      <alignment horizontal="left" vertical="center" wrapText="1"/>
    </xf>
    <xf numFmtId="0" fontId="105" fillId="0" borderId="24" xfId="0" applyFont="1" applyFill="1" applyBorder="1" applyAlignment="1">
      <alignment horizontal="left" vertical="center" wrapText="1"/>
    </xf>
    <xf numFmtId="0" fontId="105" fillId="0" borderId="40" xfId="0" applyFont="1" applyFill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106" xfId="0" applyFont="1" applyBorder="1" applyAlignment="1">
      <alignment horizontal="left" vertical="center" wrapText="1"/>
    </xf>
    <xf numFmtId="193" fontId="23" fillId="0" borderId="50" xfId="0" applyNumberFormat="1" applyFont="1" applyBorder="1" applyAlignment="1">
      <alignment horizontal="center" vertical="center" wrapText="1"/>
    </xf>
    <xf numFmtId="193" fontId="23" fillId="0" borderId="106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104" fillId="0" borderId="123" xfId="0" applyFont="1" applyBorder="1" applyAlignment="1">
      <alignment horizontal="center"/>
    </xf>
    <xf numFmtId="0" fontId="104" fillId="0" borderId="93" xfId="0" applyFont="1" applyBorder="1" applyAlignment="1">
      <alignment horizontal="center"/>
    </xf>
    <xf numFmtId="0" fontId="104" fillId="0" borderId="143" xfId="0" applyFont="1" applyBorder="1" applyAlignment="1">
      <alignment horizontal="center"/>
    </xf>
    <xf numFmtId="0" fontId="34" fillId="0" borderId="140" xfId="0" applyFont="1" applyBorder="1" applyAlignment="1">
      <alignment horizontal="left"/>
    </xf>
    <xf numFmtId="0" fontId="34" fillId="0" borderId="141" xfId="0" applyFont="1" applyBorder="1" applyAlignment="1">
      <alignment horizontal="left"/>
    </xf>
    <xf numFmtId="0" fontId="34" fillId="0" borderId="73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144" xfId="0" applyFont="1" applyBorder="1" applyAlignment="1">
      <alignment horizontal="center" vertical="center" wrapText="1"/>
    </xf>
    <xf numFmtId="0" fontId="35" fillId="0" borderId="145" xfId="0" applyFont="1" applyBorder="1" applyAlignment="1">
      <alignment horizontal="center" vertical="center" wrapText="1"/>
    </xf>
    <xf numFmtId="0" fontId="35" fillId="0" borderId="146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10" fontId="37" fillId="38" borderId="147" xfId="0" applyNumberFormat="1" applyFont="1" applyFill="1" applyBorder="1" applyAlignment="1">
      <alignment horizontal="center" vertical="center"/>
    </xf>
    <xf numFmtId="10" fontId="37" fillId="38" borderId="148" xfId="0" applyNumberFormat="1" applyFont="1" applyFill="1" applyBorder="1" applyAlignment="1">
      <alignment horizontal="center" vertical="center"/>
    </xf>
    <xf numFmtId="0" fontId="35" fillId="0" borderId="137" xfId="0" applyFont="1" applyBorder="1" applyAlignment="1">
      <alignment horizontal="left" vertical="center" wrapText="1"/>
    </xf>
    <xf numFmtId="0" fontId="35" fillId="0" borderId="124" xfId="0" applyFont="1" applyBorder="1" applyAlignment="1">
      <alignment horizontal="left" vertical="center" wrapText="1"/>
    </xf>
    <xf numFmtId="0" fontId="35" fillId="0" borderId="138" xfId="0" applyFont="1" applyBorder="1" applyAlignment="1">
      <alignment horizontal="left" vertical="center" wrapText="1"/>
    </xf>
    <xf numFmtId="0" fontId="35" fillId="0" borderId="141" xfId="0" applyFont="1" applyBorder="1" applyAlignment="1">
      <alignment horizontal="center"/>
    </xf>
    <xf numFmtId="10" fontId="38" fillId="0" borderId="141" xfId="0" applyNumberFormat="1" applyFont="1" applyFill="1" applyBorder="1" applyAlignment="1">
      <alignment horizontal="center" vertical="center"/>
    </xf>
    <xf numFmtId="0" fontId="34" fillId="0" borderId="140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5" fillId="0" borderId="149" xfId="0" applyFont="1" applyBorder="1" applyAlignment="1">
      <alignment horizontal="left"/>
    </xf>
    <xf numFmtId="0" fontId="35" fillId="0" borderId="75" xfId="0" applyFont="1" applyBorder="1" applyAlignment="1">
      <alignment horizontal="left"/>
    </xf>
    <xf numFmtId="0" fontId="35" fillId="0" borderId="150" xfId="0" applyFont="1" applyBorder="1" applyAlignment="1">
      <alignment horizontal="left"/>
    </xf>
    <xf numFmtId="0" fontId="35" fillId="0" borderId="79" xfId="0" applyFont="1" applyBorder="1" applyAlignment="1">
      <alignment horizontal="left"/>
    </xf>
    <xf numFmtId="0" fontId="35" fillId="0" borderId="151" xfId="0" applyFont="1" applyBorder="1" applyAlignment="1">
      <alignment horizontal="left"/>
    </xf>
    <xf numFmtId="0" fontId="35" fillId="0" borderId="81" xfId="0" applyFont="1" applyBorder="1" applyAlignment="1">
      <alignment horizontal="left"/>
    </xf>
    <xf numFmtId="0" fontId="35" fillId="0" borderId="152" xfId="0" applyFont="1" applyBorder="1" applyAlignment="1">
      <alignment horizontal="left"/>
    </xf>
    <xf numFmtId="0" fontId="35" fillId="0" borderId="85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2" fillId="0" borderId="124" xfId="0" applyFont="1" applyBorder="1" applyAlignment="1">
      <alignment horizontal="center" vertical="center"/>
    </xf>
    <xf numFmtId="0" fontId="33" fillId="0" borderId="153" xfId="0" applyFont="1" applyBorder="1" applyAlignment="1">
      <alignment horizontal="center" vertical="center"/>
    </xf>
    <xf numFmtId="0" fontId="33" fillId="0" borderId="154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6" xfId="49"/>
    <cellStyle name="Neutra" xfId="50"/>
    <cellStyle name="Normal 2 2" xfId="51"/>
    <cellStyle name="Normal 3 4" xfId="52"/>
    <cellStyle name="Normal 5 2" xfId="53"/>
    <cellStyle name="Normal 6" xfId="54"/>
    <cellStyle name="Nota" xfId="55"/>
    <cellStyle name="Percent" xfId="56"/>
    <cellStyle name="Porcentagem 3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742950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3657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19050</xdr:rowOff>
    </xdr:from>
    <xdr:to>
      <xdr:col>5</xdr:col>
      <xdr:colOff>638175</xdr:colOff>
      <xdr:row>6</xdr:row>
      <xdr:rowOff>38100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1552575" y="19050"/>
          <a:ext cx="41433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REPÚBLICA FEDERATIVA DO BRASIL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PARÁ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SEMINFRA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295275</xdr:colOff>
      <xdr:row>5</xdr:row>
      <xdr:rowOff>57150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95250</xdr:rowOff>
    </xdr:from>
    <xdr:to>
      <xdr:col>7</xdr:col>
      <xdr:colOff>790575</xdr:colOff>
      <xdr:row>5</xdr:row>
      <xdr:rowOff>161925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952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46</xdr:row>
      <xdr:rowOff>114300</xdr:rowOff>
    </xdr:from>
    <xdr:to>
      <xdr:col>8</xdr:col>
      <xdr:colOff>76200</xdr:colOff>
      <xdr:row>47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124325" y="12172950"/>
          <a:ext cx="3352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Itaituba - Pa, 13 de Dezembro de 2021 </a:t>
          </a:r>
        </a:p>
      </xdr:txBody>
    </xdr:sp>
    <xdr:clientData/>
  </xdr:twoCellAnchor>
  <xdr:twoCellAnchor>
    <xdr:from>
      <xdr:col>1</xdr:col>
      <xdr:colOff>1009650</xdr:colOff>
      <xdr:row>54</xdr:row>
      <xdr:rowOff>85725</xdr:rowOff>
    </xdr:from>
    <xdr:to>
      <xdr:col>5</xdr:col>
      <xdr:colOff>552450</xdr:colOff>
      <xdr:row>57</xdr:row>
      <xdr:rowOff>85725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438275" y="13439775"/>
          <a:ext cx="417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_________________________________________
</a:t>
          </a:r>
          <a:r>
            <a:rPr lang="en-US" cap="none" sz="9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7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0</xdr:rowOff>
    </xdr:from>
    <xdr:to>
      <xdr:col>2</xdr:col>
      <xdr:colOff>2266950</xdr:colOff>
      <xdr:row>50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625" y="13982700"/>
          <a:ext cx="3343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13 de Dezembro de 2021 </a:t>
          </a:r>
        </a:p>
      </xdr:txBody>
    </xdr:sp>
    <xdr:clientData/>
  </xdr:twoCellAnchor>
  <xdr:twoCellAnchor>
    <xdr:from>
      <xdr:col>2</xdr:col>
      <xdr:colOff>695325</xdr:colOff>
      <xdr:row>55</xdr:row>
      <xdr:rowOff>9525</xdr:rowOff>
    </xdr:from>
    <xdr:to>
      <xdr:col>6</xdr:col>
      <xdr:colOff>76200</xdr:colOff>
      <xdr:row>58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19275" y="14992350"/>
          <a:ext cx="41814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_________________________________________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971550</xdr:colOff>
      <xdr:row>0</xdr:row>
      <xdr:rowOff>19050</xdr:rowOff>
    </xdr:from>
    <xdr:to>
      <xdr:col>6</xdr:col>
      <xdr:colOff>314325</xdr:colOff>
      <xdr:row>6</xdr:row>
      <xdr:rowOff>38100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2095500" y="19050"/>
          <a:ext cx="41433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REPÚBLICA FEDERATIVA DO BRASIL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PARÁ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SEMINFRA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314325</xdr:colOff>
      <xdr:row>5</xdr:row>
      <xdr:rowOff>85725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85725</xdr:rowOff>
    </xdr:from>
    <xdr:to>
      <xdr:col>7</xdr:col>
      <xdr:colOff>1438275</xdr:colOff>
      <xdr:row>5</xdr:row>
      <xdr:rowOff>152400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85725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30</xdr:row>
      <xdr:rowOff>104775</xdr:rowOff>
    </xdr:from>
    <xdr:to>
      <xdr:col>11</xdr:col>
      <xdr:colOff>514350</xdr:colOff>
      <xdr:row>31</xdr:row>
      <xdr:rowOff>95250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8448675" y="7019925"/>
          <a:ext cx="6886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13 de Dezembro de 2021 </a:t>
          </a:r>
        </a:p>
      </xdr:txBody>
    </xdr:sp>
    <xdr:clientData/>
  </xdr:twoCellAnchor>
  <xdr:twoCellAnchor>
    <xdr:from>
      <xdr:col>2</xdr:col>
      <xdr:colOff>1104900</xdr:colOff>
      <xdr:row>34</xdr:row>
      <xdr:rowOff>28575</xdr:rowOff>
    </xdr:from>
    <xdr:to>
      <xdr:col>6</xdr:col>
      <xdr:colOff>1038225</xdr:colOff>
      <xdr:row>37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524375" y="7591425"/>
          <a:ext cx="4848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2314575</xdr:colOff>
      <xdr:row>0</xdr:row>
      <xdr:rowOff>9525</xdr:rowOff>
    </xdr:from>
    <xdr:to>
      <xdr:col>6</xdr:col>
      <xdr:colOff>971550</xdr:colOff>
      <xdr:row>5</xdr:row>
      <xdr:rowOff>57150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3105150" y="9525"/>
          <a:ext cx="62007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REPÚBLICA FEDERATIVA DO BRASIL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PARÁ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SEMINFRA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133350</xdr:colOff>
      <xdr:row>5</xdr:row>
      <xdr:rowOff>95250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1323975</xdr:colOff>
      <xdr:row>0</xdr:row>
      <xdr:rowOff>19050</xdr:rowOff>
    </xdr:from>
    <xdr:to>
      <xdr:col>9</xdr:col>
      <xdr:colOff>1123950</xdr:colOff>
      <xdr:row>5</xdr:row>
      <xdr:rowOff>142875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1905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119</xdr:row>
      <xdr:rowOff>85725</xdr:rowOff>
    </xdr:from>
    <xdr:to>
      <xdr:col>8</xdr:col>
      <xdr:colOff>85725</xdr:colOff>
      <xdr:row>120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62500" y="44700825"/>
          <a:ext cx="5124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13 de Dezembro de 2021 </a:t>
          </a:r>
        </a:p>
      </xdr:txBody>
    </xdr:sp>
    <xdr:clientData/>
  </xdr:twoCellAnchor>
  <xdr:twoCellAnchor>
    <xdr:from>
      <xdr:col>1</xdr:col>
      <xdr:colOff>1619250</xdr:colOff>
      <xdr:row>129</xdr:row>
      <xdr:rowOff>114300</xdr:rowOff>
    </xdr:from>
    <xdr:to>
      <xdr:col>5</xdr:col>
      <xdr:colOff>28575</xdr:colOff>
      <xdr:row>133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209800" y="46348650"/>
          <a:ext cx="399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1981200</xdr:colOff>
      <xdr:row>0</xdr:row>
      <xdr:rowOff>9525</xdr:rowOff>
    </xdr:from>
    <xdr:to>
      <xdr:col>5</xdr:col>
      <xdr:colOff>552450</xdr:colOff>
      <xdr:row>6</xdr:row>
      <xdr:rowOff>57150</xdr:rowOff>
    </xdr:to>
    <xdr:sp>
      <xdr:nvSpPr>
        <xdr:cNvPr id="3" name="CaixaDeTexto 6"/>
        <xdr:cNvSpPr txBox="1">
          <a:spLocks noChangeArrowheads="1"/>
        </xdr:cNvSpPr>
      </xdr:nvSpPr>
      <xdr:spPr>
        <a:xfrm>
          <a:off x="2571750" y="9525"/>
          <a:ext cx="41529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REPÚBLICA FEDERATIVA DO BRASIL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DO PARÁ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SEMINFRA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66675</xdr:rowOff>
    </xdr:from>
    <xdr:to>
      <xdr:col>1</xdr:col>
      <xdr:colOff>180975</xdr:colOff>
      <xdr:row>5</xdr:row>
      <xdr:rowOff>57150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57150</xdr:rowOff>
    </xdr:from>
    <xdr:to>
      <xdr:col>6</xdr:col>
      <xdr:colOff>1047750</xdr:colOff>
      <xdr:row>5</xdr:row>
      <xdr:rowOff>152400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5715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38100</xdr:rowOff>
    </xdr:from>
    <xdr:to>
      <xdr:col>5</xdr:col>
      <xdr:colOff>257175</xdr:colOff>
      <xdr:row>6</xdr:row>
      <xdr:rowOff>19050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371600" y="38100"/>
          <a:ext cx="4295775" cy="952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2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809625</xdr:colOff>
      <xdr:row>5</xdr:row>
      <xdr:rowOff>57150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19050</xdr:rowOff>
    </xdr:from>
    <xdr:to>
      <xdr:col>6</xdr:col>
      <xdr:colOff>657225</xdr:colOff>
      <xdr:row>5</xdr:row>
      <xdr:rowOff>133350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90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30</xdr:row>
      <xdr:rowOff>0</xdr:rowOff>
    </xdr:from>
    <xdr:to>
      <xdr:col>9</xdr:col>
      <xdr:colOff>447675</xdr:colOff>
      <xdr:row>31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800225" y="5819775"/>
          <a:ext cx="6877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13 de Dezembro de 2021 </a:t>
          </a:r>
        </a:p>
      </xdr:txBody>
    </xdr:sp>
    <xdr:clientData/>
  </xdr:twoCellAnchor>
  <xdr:twoCellAnchor>
    <xdr:from>
      <xdr:col>0</xdr:col>
      <xdr:colOff>876300</xdr:colOff>
      <xdr:row>41</xdr:row>
      <xdr:rowOff>0</xdr:rowOff>
    </xdr:from>
    <xdr:to>
      <xdr:col>5</xdr:col>
      <xdr:colOff>333375</xdr:colOff>
      <xdr:row>44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76300" y="7600950"/>
          <a:ext cx="4867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321" t="s">
        <v>58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3" ht="21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</row>
    <row r="9" spans="1:13" ht="1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1:14" ht="16.5" customHeight="1">
      <c r="A10" s="299" t="s">
        <v>87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22" t="s">
        <v>95</v>
      </c>
    </row>
    <row r="11" spans="1:14" ht="16.5" customHeight="1">
      <c r="A11" s="299" t="s">
        <v>88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22"/>
    </row>
    <row r="12" spans="1:14" ht="16.5" customHeight="1">
      <c r="A12" s="299" t="s">
        <v>89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76"/>
    </row>
    <row r="13" spans="1:14" ht="16.5" customHeight="1">
      <c r="A13" s="307" t="s">
        <v>90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76"/>
    </row>
    <row r="14" spans="1:15" ht="17.25" customHeight="1">
      <c r="A14" s="304" t="s">
        <v>92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300" t="s">
        <v>29</v>
      </c>
      <c r="D15" s="300"/>
      <c r="E15" s="300"/>
      <c r="F15" s="300"/>
      <c r="G15" s="300"/>
      <c r="H15" s="300"/>
      <c r="I15" s="301"/>
      <c r="J15" s="23" t="s">
        <v>23</v>
      </c>
      <c r="K15" s="23" t="s">
        <v>24</v>
      </c>
      <c r="L15" s="24" t="s">
        <v>25</v>
      </c>
      <c r="M15" s="24" t="s">
        <v>120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305"/>
      <c r="D16" s="305"/>
      <c r="E16" s="305"/>
      <c r="F16" s="305"/>
      <c r="G16" s="305"/>
      <c r="H16" s="305"/>
      <c r="I16" s="306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302" t="s">
        <v>15</v>
      </c>
      <c r="D17" s="302"/>
      <c r="E17" s="302"/>
      <c r="F17" s="302"/>
      <c r="G17" s="302"/>
      <c r="H17" s="302"/>
      <c r="I17" s="303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298" t="s">
        <v>64</v>
      </c>
      <c r="E18" s="298"/>
      <c r="F18" s="298"/>
      <c r="G18" s="298"/>
      <c r="H18" s="298"/>
      <c r="I18" s="298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298" t="s">
        <v>16</v>
      </c>
      <c r="E19" s="298"/>
      <c r="F19" s="298"/>
      <c r="G19" s="298"/>
      <c r="H19" s="298"/>
      <c r="I19" s="298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313"/>
      <c r="D20" s="313"/>
      <c r="E20" s="313"/>
      <c r="F20" s="313"/>
      <c r="G20" s="313"/>
      <c r="H20" s="313"/>
      <c r="I20" s="314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316" t="s">
        <v>62</v>
      </c>
      <c r="D21" s="316"/>
      <c r="E21" s="316"/>
      <c r="F21" s="316"/>
      <c r="G21" s="316"/>
      <c r="H21" s="316"/>
      <c r="I21" s="316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298" t="s">
        <v>51</v>
      </c>
      <c r="E22" s="298"/>
      <c r="F22" s="298"/>
      <c r="G22" s="298"/>
      <c r="H22" s="298"/>
      <c r="I22" s="298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298"/>
      <c r="E23" s="298"/>
      <c r="F23" s="298"/>
      <c r="G23" s="298"/>
      <c r="H23" s="298"/>
      <c r="I23" s="298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312"/>
      <c r="D24" s="313"/>
      <c r="E24" s="313"/>
      <c r="F24" s="313"/>
      <c r="G24" s="313"/>
      <c r="H24" s="313"/>
      <c r="I24" s="314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315" t="s">
        <v>4</v>
      </c>
      <c r="D25" s="315"/>
      <c r="E25" s="315"/>
      <c r="F25" s="315"/>
      <c r="G25" s="315"/>
      <c r="H25" s="315"/>
      <c r="I25" s="315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311" t="s">
        <v>31</v>
      </c>
      <c r="E26" s="309"/>
      <c r="F26" s="309"/>
      <c r="G26" s="309"/>
      <c r="H26" s="309"/>
      <c r="I26" s="310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309" t="s">
        <v>37</v>
      </c>
      <c r="E27" s="309"/>
      <c r="F27" s="309"/>
      <c r="G27" s="309"/>
      <c r="H27" s="309"/>
      <c r="I27" s="310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311" t="s">
        <v>68</v>
      </c>
      <c r="E28" s="309"/>
      <c r="F28" s="309"/>
      <c r="G28" s="309"/>
      <c r="H28" s="309"/>
      <c r="I28" s="310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311" t="s">
        <v>52</v>
      </c>
      <c r="E29" s="309"/>
      <c r="F29" s="309"/>
      <c r="G29" s="309"/>
      <c r="H29" s="309"/>
      <c r="I29" s="310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312"/>
      <c r="D30" s="313"/>
      <c r="E30" s="313"/>
      <c r="F30" s="313"/>
      <c r="G30" s="313"/>
      <c r="H30" s="313"/>
      <c r="I30" s="314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315" t="s">
        <v>27</v>
      </c>
      <c r="D31" s="315"/>
      <c r="E31" s="315"/>
      <c r="F31" s="315"/>
      <c r="G31" s="315"/>
      <c r="H31" s="315"/>
      <c r="I31" s="315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298" t="s">
        <v>53</v>
      </c>
      <c r="E32" s="298"/>
      <c r="F32" s="298"/>
      <c r="G32" s="298"/>
      <c r="H32" s="298"/>
      <c r="I32" s="298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298" t="s">
        <v>54</v>
      </c>
      <c r="E33" s="298"/>
      <c r="F33" s="298"/>
      <c r="G33" s="298"/>
      <c r="H33" s="298"/>
      <c r="I33" s="298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298" t="s">
        <v>55</v>
      </c>
      <c r="E34" s="298"/>
      <c r="F34" s="298"/>
      <c r="G34" s="298"/>
      <c r="H34" s="298"/>
      <c r="I34" s="298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298" t="s">
        <v>56</v>
      </c>
      <c r="E35" s="298"/>
      <c r="F35" s="298"/>
      <c r="G35" s="298"/>
      <c r="H35" s="298"/>
      <c r="I35" s="298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298" t="s">
        <v>32</v>
      </c>
      <c r="E36" s="298"/>
      <c r="F36" s="298"/>
      <c r="G36" s="298"/>
      <c r="H36" s="298"/>
      <c r="I36" s="298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298" t="s">
        <v>33</v>
      </c>
      <c r="E37" s="298"/>
      <c r="F37" s="298"/>
      <c r="G37" s="298"/>
      <c r="H37" s="298"/>
      <c r="I37" s="298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298" t="s">
        <v>34</v>
      </c>
      <c r="E38" s="298"/>
      <c r="F38" s="298"/>
      <c r="G38" s="298"/>
      <c r="H38" s="298"/>
      <c r="I38" s="298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311" t="s">
        <v>35</v>
      </c>
      <c r="E39" s="309"/>
      <c r="F39" s="309"/>
      <c r="G39" s="309"/>
      <c r="H39" s="309"/>
      <c r="I39" s="310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311" t="s">
        <v>57</v>
      </c>
      <c r="E40" s="309"/>
      <c r="F40" s="309"/>
      <c r="G40" s="309"/>
      <c r="H40" s="309"/>
      <c r="I40" s="310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312"/>
      <c r="D41" s="313"/>
      <c r="E41" s="313"/>
      <c r="F41" s="313"/>
      <c r="G41" s="313"/>
      <c r="H41" s="313"/>
      <c r="I41" s="314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315" t="s">
        <v>49</v>
      </c>
      <c r="D42" s="315"/>
      <c r="E42" s="315"/>
      <c r="F42" s="315"/>
      <c r="G42" s="315"/>
      <c r="H42" s="315"/>
      <c r="I42" s="315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320" t="s">
        <v>36</v>
      </c>
      <c r="E43" s="320"/>
      <c r="F43" s="320"/>
      <c r="G43" s="320"/>
      <c r="H43" s="320"/>
      <c r="I43" s="320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320" t="s">
        <v>39</v>
      </c>
      <c r="E44" s="320"/>
      <c r="F44" s="320"/>
      <c r="G44" s="320"/>
      <c r="H44" s="320"/>
      <c r="I44" s="320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320" t="s">
        <v>38</v>
      </c>
      <c r="E45" s="320"/>
      <c r="F45" s="320"/>
      <c r="G45" s="320"/>
      <c r="H45" s="320"/>
      <c r="I45" s="320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323" t="s">
        <v>14</v>
      </c>
      <c r="E46" s="323"/>
      <c r="F46" s="323"/>
      <c r="G46" s="323"/>
      <c r="H46" s="323"/>
      <c r="I46" s="323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318"/>
      <c r="F47" s="318"/>
      <c r="G47" s="318"/>
      <c r="H47" s="318"/>
      <c r="I47" s="318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318"/>
      <c r="F50" s="318"/>
      <c r="G50" s="318"/>
      <c r="H50" s="318"/>
      <c r="I50" s="318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319"/>
      <c r="F53" s="319"/>
      <c r="G53" s="319"/>
      <c r="H53" s="319"/>
      <c r="I53" s="319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317"/>
      <c r="K57" s="317"/>
      <c r="L57" s="317"/>
      <c r="M57" s="317"/>
    </row>
    <row r="58" spans="5:13" ht="15" customHeight="1">
      <c r="E58" s="4"/>
      <c r="G58" s="4"/>
      <c r="H58" s="18"/>
      <c r="I58" s="4"/>
      <c r="J58" s="317"/>
      <c r="K58" s="317"/>
      <c r="L58" s="317"/>
      <c r="M58" s="317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43"/>
  <sheetViews>
    <sheetView zoomScalePageLayoutView="0" workbookViewId="0" topLeftCell="A28">
      <selection activeCell="B38" sqref="B38:B39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7.00390625" style="94" customWidth="1"/>
    <col min="4" max="4" width="12.140625" style="0" customWidth="1"/>
    <col min="5" max="5" width="8.8515625" style="127" customWidth="1"/>
    <col min="6" max="6" width="9.8515625" style="94" customWidth="1"/>
    <col min="7" max="7" width="14.140625" style="0" customWidth="1"/>
  </cols>
  <sheetData>
    <row r="1" ht="13.5"/>
    <row r="2" ht="13.5"/>
    <row r="3" ht="13.5"/>
    <row r="4" ht="13.5"/>
    <row r="5" ht="13.5"/>
    <row r="6" ht="14.25" thickBot="1"/>
    <row r="7" spans="1:7" ht="25.5" customHeight="1" thickBot="1" thickTop="1">
      <c r="A7" s="384" t="s">
        <v>149</v>
      </c>
      <c r="B7" s="384"/>
      <c r="C7" s="384"/>
      <c r="D7" s="384"/>
      <c r="E7" s="384"/>
      <c r="F7" s="359"/>
      <c r="G7" s="360"/>
    </row>
    <row r="8" spans="1:7" ht="17.25" customHeight="1" thickTop="1">
      <c r="A8" s="336"/>
      <c r="B8" s="337"/>
      <c r="C8" s="337"/>
      <c r="D8" s="337"/>
      <c r="E8" s="337"/>
      <c r="F8" s="338"/>
      <c r="G8" s="326" t="s">
        <v>279</v>
      </c>
    </row>
    <row r="9" spans="1:7" ht="14.25" customHeight="1" thickBot="1">
      <c r="A9" s="339"/>
      <c r="B9" s="340"/>
      <c r="C9" s="340"/>
      <c r="D9" s="340"/>
      <c r="E9" s="340"/>
      <c r="F9" s="341"/>
      <c r="G9" s="327"/>
    </row>
    <row r="10" spans="1:7" ht="23.25" customHeight="1" thickBot="1" thickTop="1">
      <c r="A10" s="91" t="s">
        <v>96</v>
      </c>
      <c r="B10" s="85" t="s">
        <v>97</v>
      </c>
      <c r="C10" s="86" t="s">
        <v>98</v>
      </c>
      <c r="D10" s="86" t="s">
        <v>150</v>
      </c>
      <c r="E10" s="87" t="s">
        <v>151</v>
      </c>
      <c r="F10" s="115" t="s">
        <v>157</v>
      </c>
      <c r="G10" s="88" t="s">
        <v>127</v>
      </c>
    </row>
    <row r="11" spans="1:7" ht="16.5" thickTop="1">
      <c r="A11" s="89"/>
      <c r="B11" s="385"/>
      <c r="C11" s="386"/>
      <c r="D11" s="386"/>
      <c r="E11" s="386"/>
      <c r="F11" s="386"/>
      <c r="G11" s="387"/>
    </row>
    <row r="12" spans="1:7" ht="31.5">
      <c r="A12" s="128" t="s">
        <v>1</v>
      </c>
      <c r="B12" s="108" t="s">
        <v>104</v>
      </c>
      <c r="C12" s="111" t="s">
        <v>99</v>
      </c>
      <c r="D12" s="121"/>
      <c r="E12" s="111"/>
      <c r="F12" s="111"/>
      <c r="G12" s="125"/>
    </row>
    <row r="13" spans="1:7" ht="12.75" customHeight="1">
      <c r="A13" s="364" t="s">
        <v>101</v>
      </c>
      <c r="B13" s="365" t="s">
        <v>144</v>
      </c>
      <c r="C13" s="366" t="s">
        <v>63</v>
      </c>
      <c r="D13" s="370">
        <v>6</v>
      </c>
      <c r="E13" s="383">
        <v>4</v>
      </c>
      <c r="F13" s="328"/>
      <c r="G13" s="363">
        <f>(D13*E13)</f>
        <v>24</v>
      </c>
    </row>
    <row r="14" spans="1:7" ht="12.75" customHeight="1">
      <c r="A14" s="325"/>
      <c r="B14" s="356"/>
      <c r="C14" s="357"/>
      <c r="D14" s="343"/>
      <c r="E14" s="388"/>
      <c r="F14" s="329"/>
      <c r="G14" s="345"/>
    </row>
    <row r="15" spans="1:7" ht="12.75" customHeight="1">
      <c r="A15" s="364" t="s">
        <v>102</v>
      </c>
      <c r="B15" s="365" t="s">
        <v>145</v>
      </c>
      <c r="C15" s="366" t="s">
        <v>63</v>
      </c>
      <c r="D15" s="370">
        <v>3</v>
      </c>
      <c r="E15" s="382">
        <v>2</v>
      </c>
      <c r="F15" s="330"/>
      <c r="G15" s="344">
        <f>D15*E15</f>
        <v>6</v>
      </c>
    </row>
    <row r="16" spans="1:7" ht="12.75" customHeight="1">
      <c r="A16" s="364"/>
      <c r="B16" s="365"/>
      <c r="C16" s="366"/>
      <c r="D16" s="370"/>
      <c r="E16" s="383"/>
      <c r="F16" s="331"/>
      <c r="G16" s="345"/>
    </row>
    <row r="17" spans="1:7" ht="15.75">
      <c r="A17" s="128" t="s">
        <v>2</v>
      </c>
      <c r="B17" s="102" t="s">
        <v>103</v>
      </c>
      <c r="C17" s="111" t="s">
        <v>99</v>
      </c>
      <c r="D17" s="121"/>
      <c r="E17" s="121"/>
      <c r="F17" s="129"/>
      <c r="G17" s="125"/>
    </row>
    <row r="18" spans="1:7" ht="22.5" customHeight="1">
      <c r="A18" s="364" t="s">
        <v>106</v>
      </c>
      <c r="B18" s="365" t="s">
        <v>153</v>
      </c>
      <c r="C18" s="366" t="s">
        <v>63</v>
      </c>
      <c r="D18" s="370">
        <v>74350</v>
      </c>
      <c r="E18" s="370">
        <v>6</v>
      </c>
      <c r="F18" s="332"/>
      <c r="G18" s="363">
        <f>D18*E18</f>
        <v>446100</v>
      </c>
    </row>
    <row r="19" spans="1:7" ht="24" customHeight="1">
      <c r="A19" s="376"/>
      <c r="B19" s="377"/>
      <c r="C19" s="378"/>
      <c r="D19" s="379"/>
      <c r="E19" s="379"/>
      <c r="F19" s="333"/>
      <c r="G19" s="363"/>
    </row>
    <row r="20" spans="1:7" ht="12.75" customHeight="1">
      <c r="A20" s="371" t="s">
        <v>126</v>
      </c>
      <c r="B20" s="372" t="s">
        <v>105</v>
      </c>
      <c r="C20" s="373"/>
      <c r="D20" s="374"/>
      <c r="E20" s="374"/>
      <c r="F20" s="380"/>
      <c r="G20" s="375"/>
    </row>
    <row r="21" spans="1:7" ht="12.75" customHeight="1">
      <c r="A21" s="371"/>
      <c r="B21" s="372"/>
      <c r="C21" s="373"/>
      <c r="D21" s="374"/>
      <c r="E21" s="374"/>
      <c r="F21" s="381"/>
      <c r="G21" s="375"/>
    </row>
    <row r="22" spans="1:7" ht="26.25" customHeight="1">
      <c r="A22" s="364" t="s">
        <v>107</v>
      </c>
      <c r="B22" s="365" t="s">
        <v>152</v>
      </c>
      <c r="C22" s="366" t="s">
        <v>117</v>
      </c>
      <c r="D22" s="370">
        <v>74350</v>
      </c>
      <c r="E22" s="370">
        <v>7</v>
      </c>
      <c r="F22" s="332">
        <v>0.1</v>
      </c>
      <c r="G22" s="363">
        <f>D22*E22*(F22)</f>
        <v>52045</v>
      </c>
    </row>
    <row r="23" spans="1:7" ht="30" customHeight="1">
      <c r="A23" s="325"/>
      <c r="B23" s="356"/>
      <c r="C23" s="357"/>
      <c r="D23" s="343"/>
      <c r="E23" s="343"/>
      <c r="F23" s="334"/>
      <c r="G23" s="345"/>
    </row>
    <row r="24" spans="1:7" ht="23.25" customHeight="1">
      <c r="A24" s="324" t="s">
        <v>108</v>
      </c>
      <c r="B24" s="347" t="s">
        <v>154</v>
      </c>
      <c r="C24" s="366" t="s">
        <v>63</v>
      </c>
      <c r="D24" s="342">
        <v>74350</v>
      </c>
      <c r="E24" s="342">
        <v>7</v>
      </c>
      <c r="F24" s="335">
        <v>0</v>
      </c>
      <c r="G24" s="344">
        <f>D24*E24</f>
        <v>520450</v>
      </c>
    </row>
    <row r="25" spans="1:7" ht="21" customHeight="1">
      <c r="A25" s="325"/>
      <c r="B25" s="356"/>
      <c r="C25" s="357"/>
      <c r="D25" s="343"/>
      <c r="E25" s="343"/>
      <c r="F25" s="334"/>
      <c r="G25" s="345"/>
    </row>
    <row r="26" spans="1:7" ht="23.25" customHeight="1">
      <c r="A26" s="324" t="s">
        <v>109</v>
      </c>
      <c r="B26" s="368" t="s">
        <v>155</v>
      </c>
      <c r="C26" s="349" t="s">
        <v>63</v>
      </c>
      <c r="D26" s="342">
        <v>74350</v>
      </c>
      <c r="E26" s="342">
        <v>7</v>
      </c>
      <c r="F26" s="335">
        <v>0</v>
      </c>
      <c r="G26" s="344">
        <f>D26*E26</f>
        <v>520450</v>
      </c>
    </row>
    <row r="27" spans="1:7" ht="19.5" customHeight="1">
      <c r="A27" s="325"/>
      <c r="B27" s="369"/>
      <c r="C27" s="357"/>
      <c r="D27" s="343"/>
      <c r="E27" s="343"/>
      <c r="F27" s="334"/>
      <c r="G27" s="345"/>
    </row>
    <row r="28" spans="1:7" ht="31.5">
      <c r="A28" s="106" t="s">
        <v>111</v>
      </c>
      <c r="B28" s="108" t="s">
        <v>110</v>
      </c>
      <c r="C28" s="111" t="s">
        <v>99</v>
      </c>
      <c r="D28" s="121"/>
      <c r="E28" s="121"/>
      <c r="F28" s="116"/>
      <c r="G28" s="126"/>
    </row>
    <row r="29" spans="1:7" ht="72">
      <c r="A29" s="100" t="s">
        <v>129</v>
      </c>
      <c r="B29" s="103" t="s">
        <v>134</v>
      </c>
      <c r="C29" s="99" t="s">
        <v>132</v>
      </c>
      <c r="D29" s="122">
        <v>60</v>
      </c>
      <c r="E29" s="122">
        <v>1</v>
      </c>
      <c r="F29" s="117"/>
      <c r="G29" s="130">
        <f>D29*E29</f>
        <v>60</v>
      </c>
    </row>
    <row r="30" spans="1:7" ht="72">
      <c r="A30" s="104" t="s">
        <v>130</v>
      </c>
      <c r="B30" s="103" t="s">
        <v>135</v>
      </c>
      <c r="C30" s="105" t="s">
        <v>98</v>
      </c>
      <c r="D30" s="123">
        <v>8</v>
      </c>
      <c r="E30" s="123">
        <v>1</v>
      </c>
      <c r="F30" s="118"/>
      <c r="G30" s="130">
        <f>D30*E30</f>
        <v>8</v>
      </c>
    </row>
    <row r="31" spans="1:7" ht="61.5" customHeight="1">
      <c r="A31" s="99" t="s">
        <v>131</v>
      </c>
      <c r="B31" s="157" t="s">
        <v>283</v>
      </c>
      <c r="C31" s="105" t="s">
        <v>98</v>
      </c>
      <c r="D31" s="123">
        <v>2</v>
      </c>
      <c r="E31" s="123">
        <v>1</v>
      </c>
      <c r="F31" s="118"/>
      <c r="G31" s="130">
        <f>D31*E31</f>
        <v>2</v>
      </c>
    </row>
    <row r="32" spans="1:7" ht="24">
      <c r="A32" s="156" t="s">
        <v>137</v>
      </c>
      <c r="B32" s="114" t="s">
        <v>148</v>
      </c>
      <c r="C32" s="113" t="s">
        <v>143</v>
      </c>
      <c r="D32" s="124">
        <v>0</v>
      </c>
      <c r="E32" s="124">
        <v>1</v>
      </c>
      <c r="F32" s="119"/>
      <c r="G32" s="130">
        <f>D32*E32</f>
        <v>0</v>
      </c>
    </row>
    <row r="33" spans="1:7" ht="31.5">
      <c r="A33" s="106" t="s">
        <v>112</v>
      </c>
      <c r="B33" s="108" t="s">
        <v>119</v>
      </c>
      <c r="C33" s="109" t="s">
        <v>99</v>
      </c>
      <c r="D33" s="125"/>
      <c r="E33" s="125"/>
      <c r="F33" s="120"/>
      <c r="G33" s="126"/>
    </row>
    <row r="34" spans="1:7" ht="21" customHeight="1">
      <c r="A34" s="364" t="s">
        <v>113</v>
      </c>
      <c r="B34" s="365" t="s">
        <v>156</v>
      </c>
      <c r="C34" s="366" t="s">
        <v>117</v>
      </c>
      <c r="D34" s="367">
        <v>74350</v>
      </c>
      <c r="E34" s="367">
        <v>6</v>
      </c>
      <c r="F34" s="361">
        <v>0.1</v>
      </c>
      <c r="G34" s="344">
        <f>D34*E34*(F34)</f>
        <v>44610</v>
      </c>
    </row>
    <row r="35" spans="1:7" ht="21.75" customHeight="1">
      <c r="A35" s="325"/>
      <c r="B35" s="356"/>
      <c r="C35" s="357"/>
      <c r="D35" s="358"/>
      <c r="E35" s="358"/>
      <c r="F35" s="362"/>
      <c r="G35" s="345"/>
    </row>
    <row r="36" spans="1:7" ht="17.25" customHeight="1">
      <c r="A36" s="324" t="s">
        <v>114</v>
      </c>
      <c r="B36" s="347" t="s">
        <v>142</v>
      </c>
      <c r="C36" s="349" t="s">
        <v>118</v>
      </c>
      <c r="D36" s="351">
        <v>74350</v>
      </c>
      <c r="E36" s="351">
        <v>6</v>
      </c>
      <c r="F36" s="354">
        <v>0.1</v>
      </c>
      <c r="G36" s="344">
        <f>D36*E36*(F36)*1.25*5</f>
        <v>278812.5</v>
      </c>
    </row>
    <row r="37" spans="1:7" ht="17.25" customHeight="1">
      <c r="A37" s="325"/>
      <c r="B37" s="356"/>
      <c r="C37" s="357"/>
      <c r="D37" s="358"/>
      <c r="E37" s="358"/>
      <c r="F37" s="362"/>
      <c r="G37" s="345"/>
    </row>
    <row r="38" spans="1:7" ht="21" customHeight="1">
      <c r="A38" s="324" t="s">
        <v>115</v>
      </c>
      <c r="B38" s="347" t="s">
        <v>154</v>
      </c>
      <c r="C38" s="349" t="s">
        <v>63</v>
      </c>
      <c r="D38" s="351">
        <v>74350</v>
      </c>
      <c r="E38" s="351">
        <v>6</v>
      </c>
      <c r="F38" s="354">
        <v>0</v>
      </c>
      <c r="G38" s="344">
        <f>D38*E38</f>
        <v>446100</v>
      </c>
    </row>
    <row r="39" spans="1:7" ht="21" customHeight="1">
      <c r="A39" s="325"/>
      <c r="B39" s="356"/>
      <c r="C39" s="357"/>
      <c r="D39" s="358"/>
      <c r="E39" s="358"/>
      <c r="F39" s="362"/>
      <c r="G39" s="345"/>
    </row>
    <row r="40" spans="1:7" ht="12.75" customHeight="1">
      <c r="A40" s="324" t="s">
        <v>116</v>
      </c>
      <c r="B40" s="347" t="s">
        <v>147</v>
      </c>
      <c r="C40" s="349" t="s">
        <v>63</v>
      </c>
      <c r="D40" s="351">
        <v>74350</v>
      </c>
      <c r="E40" s="351">
        <v>6</v>
      </c>
      <c r="F40" s="354">
        <v>0</v>
      </c>
      <c r="G40" s="344">
        <f>D40*E40</f>
        <v>446100</v>
      </c>
    </row>
    <row r="41" spans="1:7" ht="13.5" customHeight="1" thickBot="1">
      <c r="A41" s="346"/>
      <c r="B41" s="348"/>
      <c r="C41" s="350"/>
      <c r="D41" s="352"/>
      <c r="E41" s="352"/>
      <c r="F41" s="355"/>
      <c r="G41" s="353"/>
    </row>
    <row r="42" ht="14.25" thickTop="1"/>
    <row r="43" spans="2:7" ht="13.5">
      <c r="B43" s="90"/>
      <c r="G43" s="90"/>
    </row>
  </sheetData>
  <sheetProtection/>
  <mergeCells count="82">
    <mergeCell ref="G15:G16"/>
    <mergeCell ref="A7:E7"/>
    <mergeCell ref="B11:G11"/>
    <mergeCell ref="A13:A14"/>
    <mergeCell ref="B13:B14"/>
    <mergeCell ref="C13:C14"/>
    <mergeCell ref="D13:D14"/>
    <mergeCell ref="E13:E14"/>
    <mergeCell ref="G13:G14"/>
    <mergeCell ref="C18:C19"/>
    <mergeCell ref="D18:D19"/>
    <mergeCell ref="E18:E19"/>
    <mergeCell ref="F20:F21"/>
    <mergeCell ref="A15:A16"/>
    <mergeCell ref="B15:B16"/>
    <mergeCell ref="C15:C16"/>
    <mergeCell ref="D15:D16"/>
    <mergeCell ref="E15:E16"/>
    <mergeCell ref="E22:E23"/>
    <mergeCell ref="G18:G19"/>
    <mergeCell ref="A20:A21"/>
    <mergeCell ref="B20:B21"/>
    <mergeCell ref="C20:C21"/>
    <mergeCell ref="D20:D21"/>
    <mergeCell ref="E20:E21"/>
    <mergeCell ref="G20:G21"/>
    <mergeCell ref="A18:A19"/>
    <mergeCell ref="B18:B19"/>
    <mergeCell ref="A24:A25"/>
    <mergeCell ref="B24:B25"/>
    <mergeCell ref="C24:C25"/>
    <mergeCell ref="D24:D25"/>
    <mergeCell ref="B22:B23"/>
    <mergeCell ref="C22:C23"/>
    <mergeCell ref="D22:D23"/>
    <mergeCell ref="A22:A23"/>
    <mergeCell ref="C34:C35"/>
    <mergeCell ref="D34:D35"/>
    <mergeCell ref="E34:E35"/>
    <mergeCell ref="G26:G27"/>
    <mergeCell ref="A26:A27"/>
    <mergeCell ref="B26:B27"/>
    <mergeCell ref="C26:C27"/>
    <mergeCell ref="D26:D27"/>
    <mergeCell ref="E26:E27"/>
    <mergeCell ref="G22:G23"/>
    <mergeCell ref="A36:A37"/>
    <mergeCell ref="B36:B37"/>
    <mergeCell ref="C36:C37"/>
    <mergeCell ref="D36:D37"/>
    <mergeCell ref="E36:E37"/>
    <mergeCell ref="G36:G37"/>
    <mergeCell ref="F36:F37"/>
    <mergeCell ref="A34:A35"/>
    <mergeCell ref="B34:B35"/>
    <mergeCell ref="B38:B39"/>
    <mergeCell ref="C38:C39"/>
    <mergeCell ref="D38:D39"/>
    <mergeCell ref="E38:E39"/>
    <mergeCell ref="F7:G7"/>
    <mergeCell ref="G34:G35"/>
    <mergeCell ref="F34:F35"/>
    <mergeCell ref="F26:F27"/>
    <mergeCell ref="G38:G39"/>
    <mergeCell ref="F38:F39"/>
    <mergeCell ref="A40:A41"/>
    <mergeCell ref="B40:B41"/>
    <mergeCell ref="C40:C41"/>
    <mergeCell ref="D40:D41"/>
    <mergeCell ref="E40:E41"/>
    <mergeCell ref="G40:G41"/>
    <mergeCell ref="F40:F41"/>
    <mergeCell ref="A38:A39"/>
    <mergeCell ref="G8:G9"/>
    <mergeCell ref="F13:F14"/>
    <mergeCell ref="F15:F16"/>
    <mergeCell ref="F18:F19"/>
    <mergeCell ref="F22:F23"/>
    <mergeCell ref="F24:F25"/>
    <mergeCell ref="A8:F9"/>
    <mergeCell ref="E24:E25"/>
    <mergeCell ref="G24:G2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115" zoomScaleSheetLayoutView="115" zoomScalePageLayoutView="0" workbookViewId="0" topLeftCell="A46">
      <selection activeCell="B41" sqref="B41:B42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7.00390625" style="94" customWidth="1"/>
    <col min="4" max="4" width="13.28125" style="0" customWidth="1"/>
    <col min="5" max="5" width="8.57421875" style="127" customWidth="1"/>
    <col min="6" max="6" width="9.8515625" style="94" customWidth="1"/>
    <col min="7" max="7" width="11.140625" style="94" customWidth="1"/>
    <col min="8" max="8" width="14.140625" style="0" customWidth="1"/>
    <col min="9" max="9" width="18.140625" style="0" customWidth="1"/>
    <col min="10" max="10" width="16.28125" style="0" customWidth="1"/>
    <col min="11" max="11" width="13.7109375" style="0" customWidth="1"/>
    <col min="12" max="12" width="14.140625" style="0" customWidth="1"/>
    <col min="13" max="13" width="15.28125" style="0" customWidth="1"/>
  </cols>
  <sheetData>
    <row r="1" spans="1:8" ht="13.5" customHeight="1">
      <c r="A1" s="460"/>
      <c r="B1" s="460"/>
      <c r="C1" s="460"/>
      <c r="D1" s="460"/>
      <c r="E1" s="460"/>
      <c r="F1" s="460"/>
      <c r="G1" s="460"/>
      <c r="H1" s="460"/>
    </row>
    <row r="2" spans="1:8" ht="13.5" customHeight="1">
      <c r="A2" s="460"/>
      <c r="B2" s="460"/>
      <c r="C2" s="460"/>
      <c r="D2" s="460"/>
      <c r="E2" s="460"/>
      <c r="F2" s="460"/>
      <c r="G2" s="460"/>
      <c r="H2" s="460"/>
    </row>
    <row r="3" spans="1:8" ht="13.5" customHeight="1">
      <c r="A3" s="460"/>
      <c r="B3" s="460"/>
      <c r="C3" s="460"/>
      <c r="D3" s="460"/>
      <c r="E3" s="460"/>
      <c r="F3" s="460"/>
      <c r="G3" s="460"/>
      <c r="H3" s="460"/>
    </row>
    <row r="4" spans="1:8" ht="13.5" customHeight="1">
      <c r="A4" s="460"/>
      <c r="B4" s="460"/>
      <c r="C4" s="460"/>
      <c r="D4" s="460"/>
      <c r="E4" s="460"/>
      <c r="F4" s="460"/>
      <c r="G4" s="460"/>
      <c r="H4" s="460"/>
    </row>
    <row r="5" spans="1:8" ht="13.5" customHeight="1">
      <c r="A5" s="460"/>
      <c r="B5" s="460"/>
      <c r="C5" s="460"/>
      <c r="D5" s="460"/>
      <c r="E5" s="460"/>
      <c r="F5" s="460"/>
      <c r="G5" s="460"/>
      <c r="H5" s="460"/>
    </row>
    <row r="6" spans="1:8" ht="14.25" customHeight="1" thickBot="1">
      <c r="A6" s="461"/>
      <c r="B6" s="461"/>
      <c r="C6" s="461"/>
      <c r="D6" s="461"/>
      <c r="E6" s="461"/>
      <c r="F6" s="461"/>
      <c r="G6" s="461"/>
      <c r="H6" s="461"/>
    </row>
    <row r="7" spans="1:8" ht="25.5" customHeight="1" thickBot="1" thickTop="1">
      <c r="A7" s="359" t="s">
        <v>149</v>
      </c>
      <c r="B7" s="462"/>
      <c r="C7" s="462"/>
      <c r="D7" s="462"/>
      <c r="E7" s="462"/>
      <c r="F7" s="462"/>
      <c r="G7" s="462"/>
      <c r="H7" s="360"/>
    </row>
    <row r="8" spans="1:8" ht="17.25" customHeight="1" thickTop="1">
      <c r="A8" s="336"/>
      <c r="B8" s="337"/>
      <c r="C8" s="337"/>
      <c r="D8" s="337"/>
      <c r="E8" s="337"/>
      <c r="F8" s="337"/>
      <c r="G8" s="338"/>
      <c r="H8" s="326" t="s">
        <v>315</v>
      </c>
    </row>
    <row r="9" spans="1:8" ht="14.25" customHeight="1" thickBot="1">
      <c r="A9" s="339"/>
      <c r="B9" s="340"/>
      <c r="C9" s="340"/>
      <c r="D9" s="340"/>
      <c r="E9" s="340"/>
      <c r="F9" s="340"/>
      <c r="G9" s="341"/>
      <c r="H9" s="327"/>
    </row>
    <row r="10" spans="1:8" ht="23.25" customHeight="1" thickBot="1" thickTop="1">
      <c r="A10" s="91" t="s">
        <v>96</v>
      </c>
      <c r="B10" s="85" t="s">
        <v>97</v>
      </c>
      <c r="C10" s="86" t="s">
        <v>98</v>
      </c>
      <c r="D10" s="221" t="s">
        <v>317</v>
      </c>
      <c r="E10" s="87" t="s">
        <v>318</v>
      </c>
      <c r="F10" s="115" t="s">
        <v>319</v>
      </c>
      <c r="G10" s="115" t="s">
        <v>124</v>
      </c>
      <c r="H10" s="88" t="s">
        <v>127</v>
      </c>
    </row>
    <row r="11" spans="1:13" ht="17.25" thickBot="1" thickTop="1">
      <c r="A11" s="420"/>
      <c r="B11" s="420"/>
      <c r="C11" s="420"/>
      <c r="D11" s="420"/>
      <c r="E11" s="420"/>
      <c r="F11" s="420"/>
      <c r="G11" s="420"/>
      <c r="H11" s="420"/>
      <c r="I11" s="230"/>
      <c r="J11" s="230"/>
      <c r="K11" s="230"/>
      <c r="L11" s="230"/>
      <c r="M11" s="231"/>
    </row>
    <row r="12" spans="1:13" ht="32.25" thickTop="1">
      <c r="A12" s="237" t="s">
        <v>1</v>
      </c>
      <c r="B12" s="238" t="s">
        <v>104</v>
      </c>
      <c r="C12" s="239" t="s">
        <v>99</v>
      </c>
      <c r="D12" s="240"/>
      <c r="E12" s="239"/>
      <c r="F12" s="239"/>
      <c r="G12" s="239"/>
      <c r="H12" s="241"/>
      <c r="I12" s="177"/>
      <c r="J12" s="177"/>
      <c r="K12" s="177"/>
      <c r="L12" s="177"/>
      <c r="M12" s="232"/>
    </row>
    <row r="13" spans="1:13" ht="12.75" customHeight="1">
      <c r="A13" s="405" t="s">
        <v>101</v>
      </c>
      <c r="B13" s="407" t="s">
        <v>329</v>
      </c>
      <c r="C13" s="409" t="s">
        <v>180</v>
      </c>
      <c r="D13" s="411">
        <v>6</v>
      </c>
      <c r="E13" s="413">
        <v>8</v>
      </c>
      <c r="F13" s="423" t="s">
        <v>335</v>
      </c>
      <c r="G13" s="425"/>
      <c r="H13" s="426">
        <v>288</v>
      </c>
      <c r="I13" s="415"/>
      <c r="J13" s="394"/>
      <c r="K13" s="394"/>
      <c r="L13" s="394"/>
      <c r="M13" s="393"/>
    </row>
    <row r="14" spans="1:13" ht="12.75" customHeight="1">
      <c r="A14" s="406"/>
      <c r="B14" s="408"/>
      <c r="C14" s="410"/>
      <c r="D14" s="412"/>
      <c r="E14" s="414"/>
      <c r="F14" s="424"/>
      <c r="G14" s="416"/>
      <c r="H14" s="419"/>
      <c r="I14" s="415"/>
      <c r="J14" s="394"/>
      <c r="K14" s="394"/>
      <c r="L14" s="394"/>
      <c r="M14" s="393"/>
    </row>
    <row r="15" spans="1:13" ht="12.75" customHeight="1">
      <c r="A15" s="406" t="s">
        <v>102</v>
      </c>
      <c r="B15" s="408" t="s">
        <v>330</v>
      </c>
      <c r="C15" s="410" t="s">
        <v>180</v>
      </c>
      <c r="D15" s="412">
        <v>6.09</v>
      </c>
      <c r="E15" s="414">
        <v>20</v>
      </c>
      <c r="F15" s="429">
        <v>8</v>
      </c>
      <c r="G15" s="416"/>
      <c r="H15" s="419">
        <f>D15*E15*F15</f>
        <v>974.4</v>
      </c>
      <c r="I15" s="415"/>
      <c r="J15" s="394"/>
      <c r="K15" s="394"/>
      <c r="L15" s="394"/>
      <c r="M15" s="393"/>
    </row>
    <row r="16" spans="1:13" ht="12.75" customHeight="1">
      <c r="A16" s="406"/>
      <c r="B16" s="408"/>
      <c r="C16" s="410"/>
      <c r="D16" s="412"/>
      <c r="E16" s="414"/>
      <c r="F16" s="429"/>
      <c r="G16" s="416"/>
      <c r="H16" s="419"/>
      <c r="I16" s="415"/>
      <c r="J16" s="394"/>
      <c r="K16" s="394"/>
      <c r="L16" s="394"/>
      <c r="M16" s="393"/>
    </row>
    <row r="17" spans="1:13" ht="12.75" customHeight="1">
      <c r="A17" s="406" t="s">
        <v>332</v>
      </c>
      <c r="B17" s="408" t="s">
        <v>331</v>
      </c>
      <c r="C17" s="410" t="s">
        <v>132</v>
      </c>
      <c r="D17" s="417">
        <v>188950</v>
      </c>
      <c r="E17" s="414"/>
      <c r="F17" s="414"/>
      <c r="G17" s="416"/>
      <c r="H17" s="419">
        <v>188950</v>
      </c>
      <c r="I17" s="415"/>
      <c r="J17" s="394"/>
      <c r="K17" s="394"/>
      <c r="L17" s="394"/>
      <c r="M17" s="393"/>
    </row>
    <row r="18" spans="1:13" ht="12.75" customHeight="1">
      <c r="A18" s="406"/>
      <c r="B18" s="408"/>
      <c r="C18" s="410"/>
      <c r="D18" s="417"/>
      <c r="E18" s="414"/>
      <c r="F18" s="414"/>
      <c r="G18" s="416"/>
      <c r="H18" s="419"/>
      <c r="I18" s="415"/>
      <c r="J18" s="394"/>
      <c r="K18" s="394"/>
      <c r="L18" s="394"/>
      <c r="M18" s="393"/>
    </row>
    <row r="19" spans="1:13" ht="12.75" customHeight="1">
      <c r="A19" s="324" t="s">
        <v>333</v>
      </c>
      <c r="B19" s="408" t="s">
        <v>145</v>
      </c>
      <c r="C19" s="410" t="s">
        <v>63</v>
      </c>
      <c r="D19" s="417">
        <v>3</v>
      </c>
      <c r="E19" s="414">
        <v>2</v>
      </c>
      <c r="F19" s="414" t="s">
        <v>99</v>
      </c>
      <c r="G19" s="416">
        <v>4</v>
      </c>
      <c r="H19" s="419">
        <f>D19*E19*G19</f>
        <v>24</v>
      </c>
      <c r="I19" s="464"/>
      <c r="J19" s="463"/>
      <c r="K19" s="463"/>
      <c r="L19" s="463"/>
      <c r="M19" s="465"/>
    </row>
    <row r="20" spans="1:13" ht="12.75" customHeight="1">
      <c r="A20" s="376"/>
      <c r="B20" s="431"/>
      <c r="C20" s="432"/>
      <c r="D20" s="418"/>
      <c r="E20" s="430"/>
      <c r="F20" s="430"/>
      <c r="G20" s="453"/>
      <c r="H20" s="455"/>
      <c r="I20" s="464"/>
      <c r="J20" s="463"/>
      <c r="K20" s="463"/>
      <c r="L20" s="463"/>
      <c r="M20" s="465"/>
    </row>
    <row r="21" spans="1:13" ht="15.75">
      <c r="A21" s="106" t="s">
        <v>2</v>
      </c>
      <c r="B21" s="102" t="s">
        <v>103</v>
      </c>
      <c r="C21" s="227" t="s">
        <v>99</v>
      </c>
      <c r="D21" s="228"/>
      <c r="E21" s="228"/>
      <c r="F21" s="129"/>
      <c r="G21" s="129"/>
      <c r="H21" s="242"/>
      <c r="I21" s="175"/>
      <c r="J21" s="175"/>
      <c r="K21" s="175"/>
      <c r="L21" s="175"/>
      <c r="M21" s="178"/>
    </row>
    <row r="22" spans="1:14" ht="22.5" customHeight="1">
      <c r="A22" s="364" t="s">
        <v>106</v>
      </c>
      <c r="B22" s="365" t="s">
        <v>334</v>
      </c>
      <c r="C22" s="366" t="s">
        <v>63</v>
      </c>
      <c r="D22" s="332">
        <v>188950</v>
      </c>
      <c r="E22" s="370">
        <v>3</v>
      </c>
      <c r="F22" s="332" t="s">
        <v>99</v>
      </c>
      <c r="G22" s="390" t="s">
        <v>99</v>
      </c>
      <c r="H22" s="454">
        <f>D22*E22</f>
        <v>566850</v>
      </c>
      <c r="I22" s="391">
        <f>226800/6</f>
        <v>37800</v>
      </c>
      <c r="J22" s="390">
        <f>165000/6</f>
        <v>27500</v>
      </c>
      <c r="K22" s="390">
        <f>295800/6</f>
        <v>49300</v>
      </c>
      <c r="L22" s="390">
        <f>446100/6</f>
        <v>74350</v>
      </c>
      <c r="M22" s="395">
        <f>SUM(I22:L23)</f>
        <v>188950</v>
      </c>
      <c r="N22" s="389">
        <f>M22*3</f>
        <v>566850</v>
      </c>
    </row>
    <row r="23" spans="1:14" ht="24" customHeight="1">
      <c r="A23" s="376"/>
      <c r="B23" s="377"/>
      <c r="C23" s="378"/>
      <c r="D23" s="333"/>
      <c r="E23" s="379"/>
      <c r="F23" s="333"/>
      <c r="G23" s="333"/>
      <c r="H23" s="454"/>
      <c r="I23" s="392"/>
      <c r="J23" s="333"/>
      <c r="K23" s="333"/>
      <c r="L23" s="333"/>
      <c r="M23" s="396"/>
      <c r="N23" s="389"/>
    </row>
    <row r="24" spans="1:13" ht="12.75" customHeight="1">
      <c r="A24" s="433" t="s">
        <v>126</v>
      </c>
      <c r="B24" s="372" t="s">
        <v>105</v>
      </c>
      <c r="C24" s="373"/>
      <c r="D24" s="374"/>
      <c r="E24" s="374"/>
      <c r="F24" s="380"/>
      <c r="G24" s="224"/>
      <c r="H24" s="427"/>
      <c r="M24" s="179"/>
    </row>
    <row r="25" spans="1:8" ht="12.75" customHeight="1">
      <c r="A25" s="433"/>
      <c r="B25" s="372"/>
      <c r="C25" s="373"/>
      <c r="D25" s="374"/>
      <c r="E25" s="374"/>
      <c r="F25" s="381"/>
      <c r="G25" s="225"/>
      <c r="H25" s="427"/>
    </row>
    <row r="26" spans="1:13" ht="26.25" customHeight="1">
      <c r="A26" s="325" t="s">
        <v>107</v>
      </c>
      <c r="B26" s="356" t="s">
        <v>152</v>
      </c>
      <c r="C26" s="357" t="s">
        <v>117</v>
      </c>
      <c r="D26" s="334">
        <v>188950</v>
      </c>
      <c r="E26" s="434">
        <v>7</v>
      </c>
      <c r="F26" s="334">
        <v>0.1</v>
      </c>
      <c r="G26" s="334" t="s">
        <v>99</v>
      </c>
      <c r="H26" s="436">
        <f>D26*E26*(F26)</f>
        <v>132265</v>
      </c>
      <c r="I26" s="391">
        <v>26460</v>
      </c>
      <c r="J26" s="390">
        <v>19250</v>
      </c>
      <c r="K26" s="390">
        <v>34510</v>
      </c>
      <c r="L26" s="390">
        <v>52045</v>
      </c>
      <c r="M26" s="395">
        <f>SUM(I26:L27)</f>
        <v>132265</v>
      </c>
    </row>
    <row r="27" spans="1:13" ht="30" customHeight="1">
      <c r="A27" s="406"/>
      <c r="B27" s="408"/>
      <c r="C27" s="410"/>
      <c r="D27" s="417"/>
      <c r="E27" s="435"/>
      <c r="F27" s="417"/>
      <c r="G27" s="417"/>
      <c r="H27" s="437"/>
      <c r="I27" s="392"/>
      <c r="J27" s="333"/>
      <c r="K27" s="333"/>
      <c r="L27" s="333"/>
      <c r="M27" s="396"/>
    </row>
    <row r="28" spans="1:13" ht="23.25" customHeight="1">
      <c r="A28" s="406" t="s">
        <v>108</v>
      </c>
      <c r="B28" s="408" t="s">
        <v>154</v>
      </c>
      <c r="C28" s="410" t="s">
        <v>63</v>
      </c>
      <c r="D28" s="417">
        <v>188950</v>
      </c>
      <c r="E28" s="434">
        <v>7</v>
      </c>
      <c r="F28" s="417">
        <v>0</v>
      </c>
      <c r="G28" s="335" t="s">
        <v>99</v>
      </c>
      <c r="H28" s="437">
        <f>D28*E28</f>
        <v>1322650</v>
      </c>
      <c r="I28" s="391">
        <f>I26*10</f>
        <v>264600</v>
      </c>
      <c r="J28" s="390">
        <f>J26*10</f>
        <v>192500</v>
      </c>
      <c r="K28" s="390">
        <f>K26*10</f>
        <v>345100</v>
      </c>
      <c r="L28" s="390">
        <f>L26*10</f>
        <v>520450</v>
      </c>
      <c r="M28" s="395">
        <f>SUM(I28:L29)</f>
        <v>1322650</v>
      </c>
    </row>
    <row r="29" spans="1:13" ht="21" customHeight="1">
      <c r="A29" s="406"/>
      <c r="B29" s="408"/>
      <c r="C29" s="410"/>
      <c r="D29" s="417"/>
      <c r="E29" s="435"/>
      <c r="F29" s="417"/>
      <c r="G29" s="334"/>
      <c r="H29" s="437"/>
      <c r="I29" s="392"/>
      <c r="J29" s="333"/>
      <c r="K29" s="333"/>
      <c r="L29" s="333"/>
      <c r="M29" s="396"/>
    </row>
    <row r="30" spans="1:13" ht="23.25" customHeight="1">
      <c r="A30" s="406" t="s">
        <v>109</v>
      </c>
      <c r="B30" s="447" t="s">
        <v>155</v>
      </c>
      <c r="C30" s="410" t="s">
        <v>63</v>
      </c>
      <c r="D30" s="417">
        <v>188950</v>
      </c>
      <c r="E30" s="434">
        <v>7</v>
      </c>
      <c r="F30" s="417">
        <v>0</v>
      </c>
      <c r="G30" s="417" t="s">
        <v>99</v>
      </c>
      <c r="H30" s="437">
        <f>D30*E30</f>
        <v>1322650</v>
      </c>
      <c r="I30" s="391">
        <v>264600</v>
      </c>
      <c r="J30" s="390">
        <v>192500</v>
      </c>
      <c r="K30" s="390">
        <v>345100</v>
      </c>
      <c r="L30" s="390">
        <v>520450</v>
      </c>
      <c r="M30" s="395">
        <f>SUM(I30:L31)</f>
        <v>1322650</v>
      </c>
    </row>
    <row r="31" spans="1:13" ht="19.5" customHeight="1">
      <c r="A31" s="324"/>
      <c r="B31" s="368"/>
      <c r="C31" s="349"/>
      <c r="D31" s="335"/>
      <c r="E31" s="435"/>
      <c r="F31" s="335"/>
      <c r="G31" s="335"/>
      <c r="H31" s="438"/>
      <c r="I31" s="392"/>
      <c r="J31" s="333"/>
      <c r="K31" s="333"/>
      <c r="L31" s="333"/>
      <c r="M31" s="396"/>
    </row>
    <row r="32" spans="1:10" ht="31.5">
      <c r="A32" s="106" t="s">
        <v>111</v>
      </c>
      <c r="B32" s="108" t="s">
        <v>110</v>
      </c>
      <c r="C32" s="227" t="s">
        <v>99</v>
      </c>
      <c r="D32" s="228"/>
      <c r="E32" s="228"/>
      <c r="F32" s="255"/>
      <c r="G32" s="255"/>
      <c r="H32" s="242"/>
      <c r="I32" s="223">
        <f>'PLANILHA DE CUSTOS'!H47</f>
        <v>8607534.33</v>
      </c>
      <c r="J32" s="223">
        <v>8607534.33</v>
      </c>
    </row>
    <row r="33" spans="1:13" ht="72">
      <c r="A33" s="245" t="s">
        <v>129</v>
      </c>
      <c r="B33" s="211" t="str">
        <f>'PLANILHA DE CUSTOS'!C33</f>
        <v>TUBO DE CONCRETO PARA REDES COLETORAS DE ÁGUAS PLUVIAIS, DIÂMETRO DE 1000 MM, JUNTA RÍGIDA, INSTALADO EM LOCAL COM BAIXO NÍVEL DE INTERFERÊNCIAS - FORNECIMENTO E ASSENTAMENTO. AF_12/2015</v>
      </c>
      <c r="C33" s="170" t="str">
        <f>'PLANILHA DE CUSTOS'!D33</f>
        <v>M</v>
      </c>
      <c r="D33" s="171" t="s">
        <v>99</v>
      </c>
      <c r="E33" s="171" t="s">
        <v>99</v>
      </c>
      <c r="F33" s="170" t="s">
        <v>99</v>
      </c>
      <c r="G33" s="246">
        <v>110</v>
      </c>
      <c r="H33" s="247">
        <v>110</v>
      </c>
      <c r="I33" s="181">
        <v>30</v>
      </c>
      <c r="J33" s="174" t="s">
        <v>99</v>
      </c>
      <c r="K33" s="174">
        <v>20</v>
      </c>
      <c r="L33" s="176">
        <v>60</v>
      </c>
      <c r="M33" s="178">
        <f>SUM(I33:L33)</f>
        <v>110</v>
      </c>
    </row>
    <row r="34" spans="1:13" ht="62.25" customHeight="1">
      <c r="A34" s="248" t="s">
        <v>130</v>
      </c>
      <c r="B34" s="212" t="str">
        <f>'PLANILHA DE CUSTOS'!C35</f>
        <v>BOCA PARA BUEIRO SIMPLES TUBULAR D=100 CM EM CONCRETO, ALAS COM ESCONSIDADE 0º, INCLUINDO FORMAS E MATERIAIS. AF_07/2021</v>
      </c>
      <c r="C34" s="99" t="str">
        <f>'PLANILHA DE CUSTOS'!D34</f>
        <v>M</v>
      </c>
      <c r="D34" s="122" t="s">
        <v>99</v>
      </c>
      <c r="E34" s="122" t="s">
        <v>99</v>
      </c>
      <c r="F34" s="249" t="s">
        <v>99</v>
      </c>
      <c r="G34" s="250">
        <v>18</v>
      </c>
      <c r="H34" s="222">
        <v>18</v>
      </c>
      <c r="I34" s="181">
        <v>6</v>
      </c>
      <c r="J34" s="174" t="s">
        <v>99</v>
      </c>
      <c r="K34" s="174">
        <v>4</v>
      </c>
      <c r="L34" s="176">
        <v>8</v>
      </c>
      <c r="M34" s="180">
        <f>SUM(I34:L34)</f>
        <v>18</v>
      </c>
    </row>
    <row r="35" spans="1:13" ht="48">
      <c r="A35" s="251" t="s">
        <v>131</v>
      </c>
      <c r="B35" s="114" t="str">
        <f>'PLANILHA DE CUSTOS'!C37</f>
        <v>BOCA PARA BUEIRO DUPLO TUBULAR D=100 CM EM CONCRETO, ALAS COM ESCONSIDADE 0º, INCLUINDO FORMAS E MATERIAIS. AF_07/2021</v>
      </c>
      <c r="C35" s="113" t="str">
        <f>'PLANILHA DE CUSTOS'!D35</f>
        <v>UND</v>
      </c>
      <c r="D35" s="124" t="s">
        <v>99</v>
      </c>
      <c r="E35" s="124" t="s">
        <v>99</v>
      </c>
      <c r="F35" s="252" t="s">
        <v>99</v>
      </c>
      <c r="G35" s="253">
        <v>2</v>
      </c>
      <c r="H35" s="254">
        <v>2</v>
      </c>
      <c r="I35" s="181" t="s">
        <v>99</v>
      </c>
      <c r="J35" s="174" t="s">
        <v>99</v>
      </c>
      <c r="K35" s="174" t="s">
        <v>99</v>
      </c>
      <c r="L35" s="176">
        <v>2</v>
      </c>
      <c r="M35" s="180">
        <f>SUM(I35:L35)</f>
        <v>2</v>
      </c>
    </row>
    <row r="36" spans="1:8" ht="31.5">
      <c r="A36" s="106" t="s">
        <v>112</v>
      </c>
      <c r="B36" s="108" t="s">
        <v>119</v>
      </c>
      <c r="C36" s="226" t="s">
        <v>99</v>
      </c>
      <c r="D36" s="229"/>
      <c r="E36" s="229"/>
      <c r="F36" s="256"/>
      <c r="G36" s="256"/>
      <c r="H36" s="242"/>
    </row>
    <row r="37" spans="1:13" ht="21" customHeight="1">
      <c r="A37" s="405" t="s">
        <v>113</v>
      </c>
      <c r="B37" s="407" t="s">
        <v>156</v>
      </c>
      <c r="C37" s="409" t="s">
        <v>117</v>
      </c>
      <c r="D37" s="441">
        <v>188950</v>
      </c>
      <c r="E37" s="443">
        <v>6.40645673458587</v>
      </c>
      <c r="F37" s="445">
        <v>0.1</v>
      </c>
      <c r="G37" s="361" t="s">
        <v>99</v>
      </c>
      <c r="H37" s="426">
        <f>D37*E37*(F37)</f>
        <v>121050</v>
      </c>
      <c r="I37" s="403">
        <v>22680</v>
      </c>
      <c r="J37" s="401">
        <v>19250</v>
      </c>
      <c r="K37" s="401">
        <v>34510</v>
      </c>
      <c r="L37" s="401">
        <v>44610</v>
      </c>
      <c r="M37" s="456">
        <f>SUM(I37:L38)</f>
        <v>121050</v>
      </c>
    </row>
    <row r="38" spans="1:13" ht="21.75" customHeight="1" thickBot="1">
      <c r="A38" s="452"/>
      <c r="B38" s="439"/>
      <c r="C38" s="440"/>
      <c r="D38" s="442"/>
      <c r="E38" s="444"/>
      <c r="F38" s="446"/>
      <c r="G38" s="355"/>
      <c r="H38" s="448"/>
      <c r="I38" s="404"/>
      <c r="J38" s="402"/>
      <c r="K38" s="402"/>
      <c r="L38" s="402"/>
      <c r="M38" s="457"/>
    </row>
    <row r="39" spans="1:13" ht="17.25" customHeight="1" thickTop="1">
      <c r="A39" s="325" t="s">
        <v>114</v>
      </c>
      <c r="B39" s="356" t="s">
        <v>316</v>
      </c>
      <c r="C39" s="357" t="s">
        <v>321</v>
      </c>
      <c r="D39" s="358">
        <v>188950</v>
      </c>
      <c r="E39" s="450">
        <v>6.4</v>
      </c>
      <c r="F39" s="362">
        <v>0.1</v>
      </c>
      <c r="G39" s="421" t="s">
        <v>322</v>
      </c>
      <c r="H39" s="436">
        <v>1209280</v>
      </c>
      <c r="I39" s="399">
        <v>141750</v>
      </c>
      <c r="J39" s="397">
        <v>120312.5</v>
      </c>
      <c r="K39" s="397">
        <v>215687.5</v>
      </c>
      <c r="L39" s="397">
        <v>278812.5</v>
      </c>
      <c r="M39" s="458">
        <f>SUM(I39:L40)</f>
        <v>756562.5</v>
      </c>
    </row>
    <row r="40" spans="1:13" ht="17.25" customHeight="1">
      <c r="A40" s="406"/>
      <c r="B40" s="408"/>
      <c r="C40" s="410"/>
      <c r="D40" s="449"/>
      <c r="E40" s="451"/>
      <c r="F40" s="428"/>
      <c r="G40" s="422"/>
      <c r="H40" s="437"/>
      <c r="I40" s="400"/>
      <c r="J40" s="398"/>
      <c r="K40" s="398"/>
      <c r="L40" s="398"/>
      <c r="M40" s="459"/>
    </row>
    <row r="41" spans="1:13" ht="14.25" customHeight="1">
      <c r="A41" s="406" t="s">
        <v>115</v>
      </c>
      <c r="B41" s="408" t="s">
        <v>154</v>
      </c>
      <c r="C41" s="410" t="s">
        <v>63</v>
      </c>
      <c r="D41" s="449">
        <v>188950</v>
      </c>
      <c r="E41" s="451">
        <v>6.40645673458587</v>
      </c>
      <c r="F41" s="428">
        <v>0</v>
      </c>
      <c r="G41" s="354" t="s">
        <v>99</v>
      </c>
      <c r="H41" s="419">
        <f>D41*E41</f>
        <v>1210500</v>
      </c>
      <c r="I41" s="403">
        <v>226800</v>
      </c>
      <c r="J41" s="401">
        <v>192500</v>
      </c>
      <c r="K41" s="401">
        <v>345100</v>
      </c>
      <c r="L41" s="401">
        <v>446100</v>
      </c>
      <c r="M41" s="456">
        <f>SUM(I41:L42)</f>
        <v>1210500</v>
      </c>
    </row>
    <row r="42" spans="1:13" ht="14.25" customHeight="1">
      <c r="A42" s="406"/>
      <c r="B42" s="408"/>
      <c r="C42" s="410"/>
      <c r="D42" s="449"/>
      <c r="E42" s="451"/>
      <c r="F42" s="428"/>
      <c r="G42" s="362"/>
      <c r="H42" s="419"/>
      <c r="I42" s="404"/>
      <c r="J42" s="402"/>
      <c r="K42" s="402"/>
      <c r="L42" s="402"/>
      <c r="M42" s="457"/>
    </row>
    <row r="43" spans="1:13" ht="12.75" customHeight="1">
      <c r="A43" s="406" t="s">
        <v>116</v>
      </c>
      <c r="B43" s="408" t="s">
        <v>147</v>
      </c>
      <c r="C43" s="410" t="s">
        <v>63</v>
      </c>
      <c r="D43" s="449">
        <v>188950</v>
      </c>
      <c r="E43" s="451">
        <v>6.40645673458587</v>
      </c>
      <c r="F43" s="428">
        <v>0</v>
      </c>
      <c r="G43" s="354" t="s">
        <v>99</v>
      </c>
      <c r="H43" s="419">
        <f>D43*E43</f>
        <v>1210500</v>
      </c>
      <c r="I43" s="403">
        <v>226800</v>
      </c>
      <c r="J43" s="401">
        <v>192500</v>
      </c>
      <c r="K43" s="401">
        <v>345100</v>
      </c>
      <c r="L43" s="401">
        <v>446100</v>
      </c>
      <c r="M43" s="456">
        <f>SUM(I43:L44)</f>
        <v>1210500</v>
      </c>
    </row>
    <row r="44" spans="1:13" ht="13.5" customHeight="1" thickBot="1">
      <c r="A44" s="452"/>
      <c r="B44" s="439"/>
      <c r="C44" s="440"/>
      <c r="D44" s="442"/>
      <c r="E44" s="444"/>
      <c r="F44" s="446"/>
      <c r="G44" s="355"/>
      <c r="H44" s="448"/>
      <c r="I44" s="404"/>
      <c r="J44" s="402"/>
      <c r="K44" s="402"/>
      <c r="L44" s="402"/>
      <c r="M44" s="457"/>
    </row>
    <row r="45" ht="14.25" thickTop="1"/>
    <row r="46" spans="2:8" ht="13.5">
      <c r="B46" s="90"/>
      <c r="H46" s="90"/>
    </row>
  </sheetData>
  <sheetProtection/>
  <mergeCells count="169">
    <mergeCell ref="M30:M31"/>
    <mergeCell ref="I30:I31"/>
    <mergeCell ref="M22:M23"/>
    <mergeCell ref="L30:L31"/>
    <mergeCell ref="M37:M38"/>
    <mergeCell ref="M19:M20"/>
    <mergeCell ref="M26:M27"/>
    <mergeCell ref="I28:I29"/>
    <mergeCell ref="J28:J29"/>
    <mergeCell ref="L19:L20"/>
    <mergeCell ref="I19:I20"/>
    <mergeCell ref="J19:J20"/>
    <mergeCell ref="I37:I38"/>
    <mergeCell ref="J37:J38"/>
    <mergeCell ref="K37:K38"/>
    <mergeCell ref="L37:L38"/>
    <mergeCell ref="K22:K23"/>
    <mergeCell ref="L26:L27"/>
    <mergeCell ref="K28:K29"/>
    <mergeCell ref="M39:M40"/>
    <mergeCell ref="L39:L40"/>
    <mergeCell ref="K39:K40"/>
    <mergeCell ref="A1:H6"/>
    <mergeCell ref="A7:H7"/>
    <mergeCell ref="I17:I18"/>
    <mergeCell ref="I22:I23"/>
    <mergeCell ref="J22:J23"/>
    <mergeCell ref="L22:L23"/>
    <mergeCell ref="K19:K20"/>
    <mergeCell ref="H22:H23"/>
    <mergeCell ref="H19:H20"/>
    <mergeCell ref="M41:M42"/>
    <mergeCell ref="I43:I44"/>
    <mergeCell ref="J43:J44"/>
    <mergeCell ref="K43:K44"/>
    <mergeCell ref="L43:L44"/>
    <mergeCell ref="M43:M44"/>
    <mergeCell ref="J30:J31"/>
    <mergeCell ref="K26:K27"/>
    <mergeCell ref="H43:H44"/>
    <mergeCell ref="A8:G9"/>
    <mergeCell ref="G19:G20"/>
    <mergeCell ref="A43:A44"/>
    <mergeCell ref="B43:B44"/>
    <mergeCell ref="C43:C44"/>
    <mergeCell ref="D43:D44"/>
    <mergeCell ref="E43:E44"/>
    <mergeCell ref="F43:F44"/>
    <mergeCell ref="H39:H40"/>
    <mergeCell ref="G41:G42"/>
    <mergeCell ref="A41:A42"/>
    <mergeCell ref="B41:B42"/>
    <mergeCell ref="C41:C42"/>
    <mergeCell ref="D41:D42"/>
    <mergeCell ref="E41:E42"/>
    <mergeCell ref="F41:F42"/>
    <mergeCell ref="H37:H38"/>
    <mergeCell ref="G30:G31"/>
    <mergeCell ref="A30:A31"/>
    <mergeCell ref="H41:H42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7:F38"/>
    <mergeCell ref="B30:B31"/>
    <mergeCell ref="C30:C31"/>
    <mergeCell ref="D30:D31"/>
    <mergeCell ref="E30:E31"/>
    <mergeCell ref="F30:F31"/>
    <mergeCell ref="H26:H27"/>
    <mergeCell ref="H28:H29"/>
    <mergeCell ref="G26:G27"/>
    <mergeCell ref="G28:G29"/>
    <mergeCell ref="H30:H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E19:E20"/>
    <mergeCell ref="F19:F20"/>
    <mergeCell ref="B22:B23"/>
    <mergeCell ref="C22:C23"/>
    <mergeCell ref="D22:D23"/>
    <mergeCell ref="E22:E23"/>
    <mergeCell ref="F22:F23"/>
    <mergeCell ref="B19:B20"/>
    <mergeCell ref="C19:C20"/>
    <mergeCell ref="G39:G40"/>
    <mergeCell ref="G37:G38"/>
    <mergeCell ref="F13:F14"/>
    <mergeCell ref="G13:G14"/>
    <mergeCell ref="H13:H14"/>
    <mergeCell ref="G17:G18"/>
    <mergeCell ref="H24:H25"/>
    <mergeCell ref="G22:G23"/>
    <mergeCell ref="F39:F40"/>
    <mergeCell ref="F15:F16"/>
    <mergeCell ref="D19:D20"/>
    <mergeCell ref="F17:F18"/>
    <mergeCell ref="H8:H9"/>
    <mergeCell ref="H17:H18"/>
    <mergeCell ref="A11:H11"/>
    <mergeCell ref="H15:H16"/>
    <mergeCell ref="B15:B16"/>
    <mergeCell ref="C15:C16"/>
    <mergeCell ref="D15:D16"/>
    <mergeCell ref="E15:E16"/>
    <mergeCell ref="I15:I16"/>
    <mergeCell ref="G15:G16"/>
    <mergeCell ref="G43:G44"/>
    <mergeCell ref="A17:A18"/>
    <mergeCell ref="B17:B18"/>
    <mergeCell ref="C17:C18"/>
    <mergeCell ref="D17:D18"/>
    <mergeCell ref="E17:E18"/>
    <mergeCell ref="A19:A20"/>
    <mergeCell ref="A15:A16"/>
    <mergeCell ref="J13:J14"/>
    <mergeCell ref="K13:K14"/>
    <mergeCell ref="J15:J16"/>
    <mergeCell ref="K15:K16"/>
    <mergeCell ref="L13:L14"/>
    <mergeCell ref="M13:M14"/>
    <mergeCell ref="M15:M16"/>
    <mergeCell ref="L15:L16"/>
    <mergeCell ref="A13:A14"/>
    <mergeCell ref="B13:B14"/>
    <mergeCell ref="C13:C14"/>
    <mergeCell ref="D13:D14"/>
    <mergeCell ref="E13:E14"/>
    <mergeCell ref="I13:I14"/>
    <mergeCell ref="J39:J40"/>
    <mergeCell ref="I39:I40"/>
    <mergeCell ref="L41:L42"/>
    <mergeCell ref="K41:K42"/>
    <mergeCell ref="J41:J42"/>
    <mergeCell ref="I41:I42"/>
    <mergeCell ref="N22:N23"/>
    <mergeCell ref="K30:K31"/>
    <mergeCell ref="J26:J27"/>
    <mergeCell ref="I26:I27"/>
    <mergeCell ref="M17:M18"/>
    <mergeCell ref="L17:L18"/>
    <mergeCell ref="K17:K18"/>
    <mergeCell ref="J17:J18"/>
    <mergeCell ref="L28:L29"/>
    <mergeCell ref="M28:M2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83" r:id="rId2"/>
  <rowBreaks count="1" manualBreakCount="1">
    <brk id="3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SheetLayoutView="100" zoomScalePageLayoutView="0" workbookViewId="0" topLeftCell="A22">
      <selection activeCell="J41" sqref="J41:J42"/>
    </sheetView>
  </sheetViews>
  <sheetFormatPr defaultColWidth="9.140625" defaultRowHeight="12.75"/>
  <cols>
    <col min="1" max="1" width="6.421875" style="0" customWidth="1"/>
    <col min="2" max="2" width="10.421875" style="1" customWidth="1"/>
    <col min="3" max="3" width="40.57421875" style="0" customWidth="1"/>
    <col min="4" max="4" width="6.00390625" style="94" customWidth="1"/>
    <col min="5" max="5" width="14.421875" style="0" customWidth="1"/>
    <col min="6" max="7" width="11.00390625" style="94" customWidth="1"/>
    <col min="8" max="8" width="22.140625" style="0" customWidth="1"/>
    <col min="9" max="9" width="17.7109375" style="0" customWidth="1"/>
    <col min="10" max="10" width="15.8515625" style="0" customWidth="1"/>
    <col min="11" max="11" width="17.8515625" style="0" customWidth="1"/>
    <col min="12" max="12" width="12.57421875" style="0" customWidth="1"/>
    <col min="13" max="13" width="13.57421875" style="0" customWidth="1"/>
  </cols>
  <sheetData>
    <row r="1" spans="1:8" ht="13.5" customHeight="1">
      <c r="A1" s="460"/>
      <c r="B1" s="460"/>
      <c r="C1" s="460"/>
      <c r="D1" s="460"/>
      <c r="E1" s="460"/>
      <c r="F1" s="460"/>
      <c r="G1" s="460"/>
      <c r="H1" s="460"/>
    </row>
    <row r="2" spans="1:8" ht="13.5" customHeight="1">
      <c r="A2" s="460"/>
      <c r="B2" s="460"/>
      <c r="C2" s="460"/>
      <c r="D2" s="460"/>
      <c r="E2" s="460"/>
      <c r="F2" s="460"/>
      <c r="G2" s="460"/>
      <c r="H2" s="460"/>
    </row>
    <row r="3" spans="1:8" ht="13.5" customHeight="1">
      <c r="A3" s="460"/>
      <c r="B3" s="460"/>
      <c r="C3" s="460"/>
      <c r="D3" s="460"/>
      <c r="E3" s="460"/>
      <c r="F3" s="460"/>
      <c r="G3" s="460"/>
      <c r="H3" s="460"/>
    </row>
    <row r="4" spans="1:8" ht="13.5" customHeight="1">
      <c r="A4" s="460"/>
      <c r="B4" s="460"/>
      <c r="C4" s="460"/>
      <c r="D4" s="460"/>
      <c r="E4" s="460"/>
      <c r="F4" s="460"/>
      <c r="G4" s="460"/>
      <c r="H4" s="460"/>
    </row>
    <row r="5" spans="1:8" ht="13.5" customHeight="1">
      <c r="A5" s="460"/>
      <c r="B5" s="460"/>
      <c r="C5" s="460"/>
      <c r="D5" s="460"/>
      <c r="E5" s="460"/>
      <c r="F5" s="460"/>
      <c r="G5" s="460"/>
      <c r="H5" s="460"/>
    </row>
    <row r="6" spans="1:8" ht="14.25" customHeight="1" thickBot="1">
      <c r="A6" s="461"/>
      <c r="B6" s="461"/>
      <c r="C6" s="461"/>
      <c r="D6" s="461"/>
      <c r="E6" s="461"/>
      <c r="F6" s="461"/>
      <c r="G6" s="461"/>
      <c r="H6" s="461"/>
    </row>
    <row r="7" spans="1:10" ht="58.5" customHeight="1" thickBot="1" thickTop="1">
      <c r="A7" s="505" t="s">
        <v>309</v>
      </c>
      <c r="B7" s="506"/>
      <c r="C7" s="506"/>
      <c r="D7" s="506"/>
      <c r="E7" s="506"/>
      <c r="F7" s="507"/>
      <c r="G7" s="84" t="s">
        <v>297</v>
      </c>
      <c r="H7" s="508" t="s">
        <v>125</v>
      </c>
      <c r="J7">
        <f>74.35+37.8+27.5+49.3</f>
        <v>188.95</v>
      </c>
    </row>
    <row r="8" spans="1:8" ht="27.75" customHeight="1" thickBot="1" thickTop="1">
      <c r="A8" s="96" t="s">
        <v>122</v>
      </c>
      <c r="B8" s="95" t="s">
        <v>121</v>
      </c>
      <c r="C8" s="509" t="s">
        <v>58</v>
      </c>
      <c r="D8" s="509"/>
      <c r="E8" s="509"/>
      <c r="F8" s="509"/>
      <c r="G8" s="483" t="s">
        <v>294</v>
      </c>
      <c r="H8" s="508"/>
    </row>
    <row r="9" spans="1:8" ht="24.75" customHeight="1" thickBot="1" thickTop="1">
      <c r="A9" s="97" t="s">
        <v>123</v>
      </c>
      <c r="B9" s="93">
        <v>44470</v>
      </c>
      <c r="C9" s="510"/>
      <c r="D9" s="510"/>
      <c r="E9" s="510"/>
      <c r="F9" s="510"/>
      <c r="G9" s="484"/>
      <c r="H9" s="88" t="s">
        <v>127</v>
      </c>
    </row>
    <row r="10" spans="1:8" ht="27" thickBot="1" thickTop="1">
      <c r="A10" s="91" t="s">
        <v>96</v>
      </c>
      <c r="B10" s="92" t="s">
        <v>121</v>
      </c>
      <c r="C10" s="85" t="s">
        <v>97</v>
      </c>
      <c r="D10" s="86" t="s">
        <v>98</v>
      </c>
      <c r="E10" s="86" t="s">
        <v>124</v>
      </c>
      <c r="F10" s="87" t="s">
        <v>295</v>
      </c>
      <c r="G10" s="115" t="s">
        <v>296</v>
      </c>
      <c r="H10" s="258">
        <f>H47</f>
        <v>8607534.33</v>
      </c>
    </row>
    <row r="11" spans="1:8" ht="15" thickBot="1" thickTop="1">
      <c r="A11" s="485"/>
      <c r="B11" s="486"/>
      <c r="C11" s="486"/>
      <c r="D11" s="486"/>
      <c r="E11" s="486"/>
      <c r="F11" s="486"/>
      <c r="G11" s="486"/>
      <c r="H11" s="487"/>
    </row>
    <row r="12" spans="1:13" ht="31.5" customHeight="1" thickTop="1">
      <c r="A12" s="218" t="s">
        <v>100</v>
      </c>
      <c r="B12" s="219"/>
      <c r="C12" s="504" t="s">
        <v>299</v>
      </c>
      <c r="D12" s="386"/>
      <c r="E12" s="386"/>
      <c r="F12" s="386"/>
      <c r="G12" s="386"/>
      <c r="H12" s="387"/>
      <c r="I12" s="230"/>
      <c r="J12" s="230"/>
      <c r="K12" s="230"/>
      <c r="L12" s="230"/>
      <c r="M12" s="231"/>
    </row>
    <row r="13" spans="1:14" ht="15.75">
      <c r="A13" s="106" t="s">
        <v>1</v>
      </c>
      <c r="B13" s="173"/>
      <c r="C13" s="243" t="s">
        <v>328</v>
      </c>
      <c r="D13" s="466"/>
      <c r="E13" s="467"/>
      <c r="F13" s="467"/>
      <c r="G13" s="468"/>
      <c r="H13" s="206">
        <f>H20+H14+H16+H18</f>
        <v>142537.89</v>
      </c>
      <c r="I13" s="177"/>
      <c r="J13" s="177"/>
      <c r="K13" s="177"/>
      <c r="L13" s="177"/>
      <c r="M13" s="232"/>
      <c r="N13" s="177"/>
    </row>
    <row r="14" spans="1:13" ht="13.5" customHeight="1">
      <c r="A14" s="405" t="s">
        <v>101</v>
      </c>
      <c r="B14" s="409">
        <v>90778</v>
      </c>
      <c r="C14" s="407" t="s">
        <v>329</v>
      </c>
      <c r="D14" s="409" t="s">
        <v>180</v>
      </c>
      <c r="E14" s="474">
        <v>330</v>
      </c>
      <c r="F14" s="413">
        <v>93.3</v>
      </c>
      <c r="G14" s="413">
        <f>ROUND(F14*1.299,2)</f>
        <v>121.2</v>
      </c>
      <c r="H14" s="489">
        <f>ROUND(E14*G14,2)</f>
        <v>39996</v>
      </c>
      <c r="I14" s="415"/>
      <c r="J14" s="394"/>
      <c r="K14" s="394"/>
      <c r="L14" s="394"/>
      <c r="M14" s="393"/>
    </row>
    <row r="15" spans="1:13" ht="16.5" customHeight="1">
      <c r="A15" s="406"/>
      <c r="B15" s="410"/>
      <c r="C15" s="408"/>
      <c r="D15" s="410"/>
      <c r="E15" s="475"/>
      <c r="F15" s="414"/>
      <c r="G15" s="414"/>
      <c r="H15" s="476"/>
      <c r="I15" s="415"/>
      <c r="J15" s="394"/>
      <c r="K15" s="394"/>
      <c r="L15" s="394"/>
      <c r="M15" s="393"/>
    </row>
    <row r="16" spans="1:13" ht="13.5" customHeight="1">
      <c r="A16" s="406" t="s">
        <v>102</v>
      </c>
      <c r="B16" s="410">
        <v>90776</v>
      </c>
      <c r="C16" s="408" t="s">
        <v>330</v>
      </c>
      <c r="D16" s="410" t="s">
        <v>180</v>
      </c>
      <c r="E16" s="475">
        <v>973.7485</v>
      </c>
      <c r="F16" s="414">
        <v>18.51</v>
      </c>
      <c r="G16" s="414">
        <f>ROUND(F16*1.299,2)</f>
        <v>24.04</v>
      </c>
      <c r="H16" s="476">
        <f>ROUND(E16*G16,2)</f>
        <v>23408.91</v>
      </c>
      <c r="I16" s="415"/>
      <c r="J16" s="394"/>
      <c r="K16" s="394"/>
      <c r="L16" s="394"/>
      <c r="M16" s="393"/>
    </row>
    <row r="17" spans="1:13" ht="16.5" customHeight="1">
      <c r="A17" s="406"/>
      <c r="B17" s="410"/>
      <c r="C17" s="408"/>
      <c r="D17" s="410"/>
      <c r="E17" s="475"/>
      <c r="F17" s="414"/>
      <c r="G17" s="414"/>
      <c r="H17" s="476"/>
      <c r="I17" s="415"/>
      <c r="J17" s="394"/>
      <c r="K17" s="394"/>
      <c r="L17" s="394"/>
      <c r="M17" s="393"/>
    </row>
    <row r="18" spans="1:13" ht="13.5" customHeight="1">
      <c r="A18" s="406" t="s">
        <v>332</v>
      </c>
      <c r="B18" s="410">
        <v>99064</v>
      </c>
      <c r="C18" s="408" t="s">
        <v>331</v>
      </c>
      <c r="D18" s="410" t="s">
        <v>132</v>
      </c>
      <c r="E18" s="472">
        <v>188950</v>
      </c>
      <c r="F18" s="414">
        <v>0.3</v>
      </c>
      <c r="G18" s="414">
        <f>ROUND(F18*1.299,2)</f>
        <v>0.39</v>
      </c>
      <c r="H18" s="476">
        <f>ROUND(E18*G18,2)</f>
        <v>73690.5</v>
      </c>
      <c r="I18" s="415"/>
      <c r="J18" s="394"/>
      <c r="K18" s="394"/>
      <c r="L18" s="394"/>
      <c r="M18" s="393"/>
    </row>
    <row r="19" spans="1:13" ht="16.5" customHeight="1">
      <c r="A19" s="406"/>
      <c r="B19" s="410"/>
      <c r="C19" s="408"/>
      <c r="D19" s="410"/>
      <c r="E19" s="472"/>
      <c r="F19" s="414"/>
      <c r="G19" s="414"/>
      <c r="H19" s="476"/>
      <c r="I19" s="415"/>
      <c r="J19" s="394"/>
      <c r="K19" s="394"/>
      <c r="L19" s="394"/>
      <c r="M19" s="393"/>
    </row>
    <row r="20" spans="1:13" ht="13.5" customHeight="1">
      <c r="A20" s="406" t="s">
        <v>333</v>
      </c>
      <c r="B20" s="511" t="s">
        <v>128</v>
      </c>
      <c r="C20" s="408" t="s">
        <v>145</v>
      </c>
      <c r="D20" s="410" t="s">
        <v>63</v>
      </c>
      <c r="E20" s="472">
        <v>24</v>
      </c>
      <c r="F20" s="414">
        <v>174.57</v>
      </c>
      <c r="G20" s="414">
        <f>ROUND(F20*1.299,2)</f>
        <v>226.77</v>
      </c>
      <c r="H20" s="476">
        <f>ROUND(E20*G20,2)</f>
        <v>5442.48</v>
      </c>
      <c r="I20" s="463"/>
      <c r="J20" s="482"/>
      <c r="K20" s="463"/>
      <c r="L20" s="463"/>
      <c r="M20" s="477"/>
    </row>
    <row r="21" spans="1:13" ht="26.25" customHeight="1">
      <c r="A21" s="497"/>
      <c r="B21" s="512"/>
      <c r="C21" s="431"/>
      <c r="D21" s="432"/>
      <c r="E21" s="473"/>
      <c r="F21" s="430"/>
      <c r="G21" s="430"/>
      <c r="H21" s="488"/>
      <c r="I21" s="463"/>
      <c r="J21" s="463"/>
      <c r="K21" s="463"/>
      <c r="L21" s="463"/>
      <c r="M21" s="477"/>
    </row>
    <row r="22" spans="1:13" ht="25.5" customHeight="1">
      <c r="A22" s="106" t="s">
        <v>2</v>
      </c>
      <c r="B22" s="173"/>
      <c r="C22" s="244" t="s">
        <v>103</v>
      </c>
      <c r="D22" s="466"/>
      <c r="E22" s="467"/>
      <c r="F22" s="467"/>
      <c r="G22" s="468"/>
      <c r="H22" s="206">
        <f>H23</f>
        <v>238077</v>
      </c>
      <c r="I22" s="230"/>
      <c r="J22" s="257"/>
      <c r="K22" s="230"/>
      <c r="L22" s="230"/>
      <c r="M22" s="234"/>
    </row>
    <row r="23" spans="1:13" ht="13.5" customHeight="1">
      <c r="A23" s="364" t="s">
        <v>106</v>
      </c>
      <c r="B23" s="366">
        <v>98525</v>
      </c>
      <c r="C23" s="365" t="s">
        <v>146</v>
      </c>
      <c r="D23" s="366" t="s">
        <v>63</v>
      </c>
      <c r="E23" s="332">
        <v>566850</v>
      </c>
      <c r="F23" s="500">
        <v>0.32</v>
      </c>
      <c r="G23" s="328">
        <f>ROUND(F23*1.299,2)</f>
        <v>0.42</v>
      </c>
      <c r="H23" s="490">
        <f>ROUND(E23*G23,2)</f>
        <v>238077</v>
      </c>
      <c r="I23" s="481"/>
      <c r="J23" s="481"/>
      <c r="K23" s="481"/>
      <c r="L23" s="481"/>
      <c r="M23" s="465"/>
    </row>
    <row r="24" spans="1:13" ht="26.25" customHeight="1">
      <c r="A24" s="376"/>
      <c r="B24" s="378"/>
      <c r="C24" s="377"/>
      <c r="D24" s="378"/>
      <c r="E24" s="333"/>
      <c r="F24" s="501"/>
      <c r="G24" s="328"/>
      <c r="H24" s="491"/>
      <c r="I24" s="481"/>
      <c r="J24" s="481"/>
      <c r="K24" s="481"/>
      <c r="L24" s="481"/>
      <c r="M24" s="465"/>
    </row>
    <row r="25" spans="1:13" ht="25.5" customHeight="1">
      <c r="A25" s="198" t="s">
        <v>126</v>
      </c>
      <c r="B25" s="220"/>
      <c r="C25" s="199" t="s">
        <v>105</v>
      </c>
      <c r="D25" s="466"/>
      <c r="E25" s="467"/>
      <c r="F25" s="467"/>
      <c r="G25" s="468"/>
      <c r="H25" s="205">
        <f>H26+H28+H30</f>
        <v>4026146.6</v>
      </c>
      <c r="I25" s="177"/>
      <c r="J25" s="177"/>
      <c r="K25" s="177"/>
      <c r="L25" s="177"/>
      <c r="M25" s="233"/>
    </row>
    <row r="26" spans="1:13" ht="22.5" customHeight="1">
      <c r="A26" s="405" t="s">
        <v>107</v>
      </c>
      <c r="B26" s="409">
        <v>101121</v>
      </c>
      <c r="C26" s="407" t="s">
        <v>141</v>
      </c>
      <c r="D26" s="409" t="s">
        <v>117</v>
      </c>
      <c r="E26" s="499">
        <v>132265</v>
      </c>
      <c r="F26" s="499">
        <v>3.34</v>
      </c>
      <c r="G26" s="413">
        <f>ROUND(F26*1.299,2)</f>
        <v>4.34</v>
      </c>
      <c r="H26" s="489">
        <f>ROUND(E26*G26,2)</f>
        <v>574030.1</v>
      </c>
      <c r="I26" s="481"/>
      <c r="J26" s="481"/>
      <c r="K26" s="481"/>
      <c r="L26" s="481"/>
      <c r="M26" s="465"/>
    </row>
    <row r="27" spans="1:13" ht="36" customHeight="1">
      <c r="A27" s="406"/>
      <c r="B27" s="410"/>
      <c r="C27" s="408"/>
      <c r="D27" s="410"/>
      <c r="E27" s="417"/>
      <c r="F27" s="417"/>
      <c r="G27" s="414"/>
      <c r="H27" s="476"/>
      <c r="I27" s="481"/>
      <c r="J27" s="481"/>
      <c r="K27" s="481"/>
      <c r="L27" s="481"/>
      <c r="M27" s="465"/>
    </row>
    <row r="28" spans="1:13" ht="17.25" customHeight="1">
      <c r="A28" s="406" t="s">
        <v>108</v>
      </c>
      <c r="B28" s="410">
        <v>100575</v>
      </c>
      <c r="C28" s="408" t="s">
        <v>282</v>
      </c>
      <c r="D28" s="410" t="s">
        <v>63</v>
      </c>
      <c r="E28" s="417">
        <v>1322650</v>
      </c>
      <c r="F28" s="417">
        <v>0.1</v>
      </c>
      <c r="G28" s="414">
        <f>ROUND(F28*1.299,2)</f>
        <v>0.13</v>
      </c>
      <c r="H28" s="476">
        <f>ROUND(E28*G28,2)</f>
        <v>171944.5</v>
      </c>
      <c r="I28" s="481"/>
      <c r="J28" s="481"/>
      <c r="K28" s="481"/>
      <c r="L28" s="481"/>
      <c r="M28" s="465"/>
    </row>
    <row r="29" spans="1:13" ht="25.5" customHeight="1">
      <c r="A29" s="406"/>
      <c r="B29" s="410"/>
      <c r="C29" s="408"/>
      <c r="D29" s="410"/>
      <c r="E29" s="417"/>
      <c r="F29" s="417"/>
      <c r="G29" s="414"/>
      <c r="H29" s="476"/>
      <c r="I29" s="481"/>
      <c r="J29" s="481"/>
      <c r="K29" s="481"/>
      <c r="L29" s="481"/>
      <c r="M29" s="465"/>
    </row>
    <row r="30" spans="1:13" ht="21" customHeight="1">
      <c r="A30" s="406" t="s">
        <v>109</v>
      </c>
      <c r="B30" s="410">
        <v>100576</v>
      </c>
      <c r="C30" s="447" t="s">
        <v>138</v>
      </c>
      <c r="D30" s="410" t="s">
        <v>63</v>
      </c>
      <c r="E30" s="417">
        <v>1322650</v>
      </c>
      <c r="F30" s="417">
        <v>1.91</v>
      </c>
      <c r="G30" s="414">
        <f>ROUND(F30*1.299,2)</f>
        <v>2.48</v>
      </c>
      <c r="H30" s="476">
        <f>ROUND(E30*G30,2)</f>
        <v>3280172</v>
      </c>
      <c r="I30" s="481"/>
      <c r="J30" s="481"/>
      <c r="K30" s="481"/>
      <c r="L30" s="481"/>
      <c r="M30" s="465"/>
    </row>
    <row r="31" spans="1:13" ht="22.5" customHeight="1">
      <c r="A31" s="497"/>
      <c r="B31" s="432"/>
      <c r="C31" s="498"/>
      <c r="D31" s="432"/>
      <c r="E31" s="417"/>
      <c r="F31" s="418"/>
      <c r="G31" s="430"/>
      <c r="H31" s="488"/>
      <c r="I31" s="481"/>
      <c r="J31" s="481"/>
      <c r="K31" s="481"/>
      <c r="L31" s="481"/>
      <c r="M31" s="465"/>
    </row>
    <row r="32" spans="1:14" ht="35.25" customHeight="1">
      <c r="A32" s="106" t="s">
        <v>111</v>
      </c>
      <c r="B32" s="110"/>
      <c r="C32" s="243" t="s">
        <v>110</v>
      </c>
      <c r="D32" s="466"/>
      <c r="E32" s="467"/>
      <c r="F32" s="467"/>
      <c r="G32" s="468"/>
      <c r="H32" s="206">
        <f>H33+H35+H36+H37</f>
        <v>209285.34</v>
      </c>
      <c r="I32" s="177"/>
      <c r="J32" s="177"/>
      <c r="K32" s="177"/>
      <c r="L32" s="177"/>
      <c r="M32" s="234"/>
      <c r="N32" s="177"/>
    </row>
    <row r="33" spans="1:13" ht="65.25" customHeight="1">
      <c r="A33" s="209" t="s">
        <v>129</v>
      </c>
      <c r="B33" s="210">
        <v>92216</v>
      </c>
      <c r="C33" s="211" t="s">
        <v>134</v>
      </c>
      <c r="D33" s="170" t="s">
        <v>132</v>
      </c>
      <c r="E33" s="171">
        <v>110</v>
      </c>
      <c r="F33" s="445">
        <v>459.19</v>
      </c>
      <c r="G33" s="413">
        <f>ROUND(F33*1.299,2)</f>
        <v>596.49</v>
      </c>
      <c r="H33" s="208">
        <f>ROUND(E33*G33,2)</f>
        <v>65613.9</v>
      </c>
      <c r="I33" s="230"/>
      <c r="J33" s="230"/>
      <c r="K33" s="230"/>
      <c r="L33" s="230"/>
      <c r="M33" s="234"/>
    </row>
    <row r="34" spans="1:13" ht="66.75" customHeight="1" hidden="1">
      <c r="A34" s="100" t="s">
        <v>130</v>
      </c>
      <c r="B34" s="101">
        <v>92216</v>
      </c>
      <c r="C34" s="212" t="s">
        <v>134</v>
      </c>
      <c r="D34" s="99" t="s">
        <v>132</v>
      </c>
      <c r="E34" s="122">
        <f>MEMORIA!G30</f>
        <v>8</v>
      </c>
      <c r="F34" s="428"/>
      <c r="G34" s="414"/>
      <c r="H34" s="213">
        <f>ROUND(E34*G34,2)</f>
        <v>0</v>
      </c>
      <c r="I34" s="177"/>
      <c r="J34" s="177"/>
      <c r="K34" s="177"/>
      <c r="L34" s="177"/>
      <c r="M34" s="234"/>
    </row>
    <row r="35" spans="1:13" ht="63.75" customHeight="1">
      <c r="A35" s="100" t="s">
        <v>130</v>
      </c>
      <c r="B35" s="101">
        <v>102740</v>
      </c>
      <c r="C35" s="212" t="s">
        <v>281</v>
      </c>
      <c r="D35" s="99" t="s">
        <v>98</v>
      </c>
      <c r="E35" s="122">
        <v>18</v>
      </c>
      <c r="F35" s="428">
        <v>5416.37</v>
      </c>
      <c r="G35" s="414">
        <f>ROUND(F35*1.299,2)</f>
        <v>7035.86</v>
      </c>
      <c r="H35" s="213">
        <f>ROUND(E35*G35,2)</f>
        <v>126645.48</v>
      </c>
      <c r="I35" s="230"/>
      <c r="J35" s="230"/>
      <c r="K35" s="230"/>
      <c r="L35" s="230"/>
      <c r="M35" s="235"/>
    </row>
    <row r="36" spans="1:13" ht="65.25" customHeight="1" hidden="1">
      <c r="A36" s="100" t="s">
        <v>137</v>
      </c>
      <c r="B36" s="101" t="s">
        <v>136</v>
      </c>
      <c r="C36" s="212" t="s">
        <v>135</v>
      </c>
      <c r="D36" s="99" t="s">
        <v>98</v>
      </c>
      <c r="E36" s="122">
        <f>MEMORIA!G31</f>
        <v>2</v>
      </c>
      <c r="F36" s="428"/>
      <c r="G36" s="414"/>
      <c r="H36" s="213">
        <f>ROUND(E36*G36,2)</f>
        <v>0</v>
      </c>
      <c r="I36" s="230"/>
      <c r="J36" s="230"/>
      <c r="K36" s="230"/>
      <c r="L36" s="230"/>
      <c r="M36" s="234"/>
    </row>
    <row r="37" spans="1:13" ht="65.25" customHeight="1">
      <c r="A37" s="112" t="s">
        <v>131</v>
      </c>
      <c r="B37" s="214">
        <v>102744</v>
      </c>
      <c r="C37" s="215" t="s">
        <v>280</v>
      </c>
      <c r="D37" s="113" t="s">
        <v>98</v>
      </c>
      <c r="E37" s="124">
        <v>2</v>
      </c>
      <c r="F37" s="216">
        <v>6553.49</v>
      </c>
      <c r="G37" s="172">
        <f>ROUND(F37*1.299,2)</f>
        <v>8512.98</v>
      </c>
      <c r="H37" s="217">
        <f>ROUND(E37*G37,2)</f>
        <v>17025.96</v>
      </c>
      <c r="I37" s="230"/>
      <c r="J37" s="230"/>
      <c r="K37" s="230"/>
      <c r="L37" s="230"/>
      <c r="M37" s="235"/>
    </row>
    <row r="38" spans="1:14" ht="31.5">
      <c r="A38" s="106" t="s">
        <v>112</v>
      </c>
      <c r="B38" s="107"/>
      <c r="C38" s="243" t="s">
        <v>119</v>
      </c>
      <c r="D38" s="469"/>
      <c r="E38" s="470"/>
      <c r="F38" s="470"/>
      <c r="G38" s="471"/>
      <c r="H38" s="206">
        <f>H39+H41+H43+H45</f>
        <v>3991487.5</v>
      </c>
      <c r="I38" s="177"/>
      <c r="J38" s="177"/>
      <c r="K38" s="177"/>
      <c r="L38" s="177"/>
      <c r="M38" s="236"/>
      <c r="N38" s="177"/>
    </row>
    <row r="39" spans="1:13" ht="21.75" customHeight="1">
      <c r="A39" s="405" t="s">
        <v>113</v>
      </c>
      <c r="B39" s="409">
        <v>101118</v>
      </c>
      <c r="C39" s="407" t="s">
        <v>140</v>
      </c>
      <c r="D39" s="409" t="s">
        <v>117</v>
      </c>
      <c r="E39" s="445">
        <v>121050</v>
      </c>
      <c r="F39" s="445">
        <v>2.84</v>
      </c>
      <c r="G39" s="413">
        <f>ROUND(F39*1.299,2)</f>
        <v>3.69</v>
      </c>
      <c r="H39" s="489">
        <f>ROUND(E39*G39,2)</f>
        <v>446674.5</v>
      </c>
      <c r="I39" s="480"/>
      <c r="J39" s="480"/>
      <c r="K39" s="480"/>
      <c r="L39" s="480"/>
      <c r="M39" s="478"/>
    </row>
    <row r="40" spans="1:13" ht="21" customHeight="1">
      <c r="A40" s="406"/>
      <c r="B40" s="410"/>
      <c r="C40" s="408"/>
      <c r="D40" s="410"/>
      <c r="E40" s="428"/>
      <c r="F40" s="428"/>
      <c r="G40" s="414"/>
      <c r="H40" s="476"/>
      <c r="I40" s="480"/>
      <c r="J40" s="480"/>
      <c r="K40" s="480"/>
      <c r="L40" s="480"/>
      <c r="M40" s="479"/>
    </row>
    <row r="41" spans="1:13" ht="18.75" customHeight="1">
      <c r="A41" s="406" t="s">
        <v>114</v>
      </c>
      <c r="B41" s="410">
        <v>93598</v>
      </c>
      <c r="C41" s="408" t="s">
        <v>320</v>
      </c>
      <c r="D41" s="410" t="s">
        <v>321</v>
      </c>
      <c r="E41" s="428">
        <v>1209280</v>
      </c>
      <c r="F41" s="417">
        <v>1.23</v>
      </c>
      <c r="G41" s="414">
        <f>ROUND(F41*1.299,2)</f>
        <v>1.6</v>
      </c>
      <c r="H41" s="476">
        <f>ROUND(E41*G41,2)</f>
        <v>1934848</v>
      </c>
      <c r="I41" s="480">
        <f>F41*29.9%+1.23</f>
        <v>1.59777</v>
      </c>
      <c r="J41" s="480"/>
      <c r="K41" s="480"/>
      <c r="L41" s="480"/>
      <c r="M41" s="478"/>
    </row>
    <row r="42" spans="1:13" ht="16.5" customHeight="1" thickBot="1">
      <c r="A42" s="452"/>
      <c r="B42" s="440"/>
      <c r="C42" s="439"/>
      <c r="D42" s="440"/>
      <c r="E42" s="446"/>
      <c r="F42" s="496"/>
      <c r="G42" s="495"/>
      <c r="H42" s="492"/>
      <c r="I42" s="480"/>
      <c r="J42" s="480"/>
      <c r="K42" s="480"/>
      <c r="L42" s="480"/>
      <c r="M42" s="479"/>
    </row>
    <row r="43" spans="1:13" ht="20.25" customHeight="1" thickTop="1">
      <c r="A43" s="406" t="s">
        <v>115</v>
      </c>
      <c r="B43" s="410">
        <v>100575</v>
      </c>
      <c r="C43" s="408" t="s">
        <v>139</v>
      </c>
      <c r="D43" s="410" t="s">
        <v>63</v>
      </c>
      <c r="E43" s="428">
        <v>1210500</v>
      </c>
      <c r="F43" s="428">
        <v>0.1</v>
      </c>
      <c r="G43" s="414">
        <f>ROUND(F43*1.299,2)</f>
        <v>0.13</v>
      </c>
      <c r="H43" s="476">
        <f>ROUND(E43*G43,2)</f>
        <v>157365</v>
      </c>
      <c r="I43" s="480"/>
      <c r="J43" s="480"/>
      <c r="K43" s="480"/>
      <c r="L43" s="480"/>
      <c r="M43" s="478"/>
    </row>
    <row r="44" spans="1:13" ht="21" customHeight="1">
      <c r="A44" s="406"/>
      <c r="B44" s="410"/>
      <c r="C44" s="408"/>
      <c r="D44" s="410"/>
      <c r="E44" s="428"/>
      <c r="F44" s="428"/>
      <c r="G44" s="414"/>
      <c r="H44" s="476"/>
      <c r="I44" s="480"/>
      <c r="J44" s="480"/>
      <c r="K44" s="480"/>
      <c r="L44" s="480"/>
      <c r="M44" s="479"/>
    </row>
    <row r="45" spans="1:13" ht="12.75" customHeight="1">
      <c r="A45" s="406" t="s">
        <v>116</v>
      </c>
      <c r="B45" s="410">
        <v>100577</v>
      </c>
      <c r="C45" s="408" t="s">
        <v>147</v>
      </c>
      <c r="D45" s="410" t="s">
        <v>63</v>
      </c>
      <c r="E45" s="428">
        <v>1210500</v>
      </c>
      <c r="F45" s="428">
        <v>0.92</v>
      </c>
      <c r="G45" s="414">
        <f>ROUND(F45*1.299,2)</f>
        <v>1.2</v>
      </c>
      <c r="H45" s="476">
        <f>ROUND(E45*G45,2)</f>
        <v>1452600</v>
      </c>
      <c r="I45" s="480"/>
      <c r="J45" s="480"/>
      <c r="K45" s="480"/>
      <c r="L45" s="480"/>
      <c r="M45" s="478"/>
    </row>
    <row r="46" spans="1:13" ht="12.75" customHeight="1" thickBot="1">
      <c r="A46" s="452"/>
      <c r="B46" s="440"/>
      <c r="C46" s="439"/>
      <c r="D46" s="440"/>
      <c r="E46" s="446"/>
      <c r="F46" s="446"/>
      <c r="G46" s="495"/>
      <c r="H46" s="492"/>
      <c r="I46" s="480"/>
      <c r="J46" s="480"/>
      <c r="K46" s="480"/>
      <c r="L46" s="480"/>
      <c r="M46" s="479"/>
    </row>
    <row r="47" spans="1:9" ht="22.5" customHeight="1" thickBot="1" thickTop="1">
      <c r="A47" s="98"/>
      <c r="B47" s="98"/>
      <c r="C47" s="98"/>
      <c r="D47" s="98"/>
      <c r="E47" s="493" t="s">
        <v>127</v>
      </c>
      <c r="F47" s="494"/>
      <c r="G47" s="168"/>
      <c r="H47" s="207">
        <f>H13+H22+H25+H32+H38</f>
        <v>8607534.33</v>
      </c>
      <c r="I47">
        <v>8607534.33</v>
      </c>
    </row>
    <row r="48" ht="6" customHeight="1" thickBot="1" thickTop="1"/>
    <row r="49" spans="3:8" ht="19.5" customHeight="1" thickBot="1" thickTop="1">
      <c r="C49" s="90"/>
      <c r="E49" s="502" t="s">
        <v>133</v>
      </c>
      <c r="F49" s="503"/>
      <c r="G49" s="169"/>
      <c r="H49" s="207">
        <f>ROUND(H47/188.95,2)</f>
        <v>45554.56</v>
      </c>
    </row>
    <row r="50" spans="3:9" ht="14.25" thickTop="1">
      <c r="C50" s="90"/>
      <c r="H50" s="90"/>
      <c r="I50" s="223"/>
    </row>
    <row r="61" ht="13.5">
      <c r="J61" s="1"/>
    </row>
    <row r="63" ht="13.5">
      <c r="J63" s="1"/>
    </row>
  </sheetData>
  <sheetProtection/>
  <mergeCells count="174">
    <mergeCell ref="A1:H6"/>
    <mergeCell ref="E49:F49"/>
    <mergeCell ref="C12:H12"/>
    <mergeCell ref="A7:F7"/>
    <mergeCell ref="H7:H8"/>
    <mergeCell ref="C8:F9"/>
    <mergeCell ref="A20:A21"/>
    <mergeCell ref="B20:B21"/>
    <mergeCell ref="C20:C21"/>
    <mergeCell ref="D20:D21"/>
    <mergeCell ref="F20:F21"/>
    <mergeCell ref="A23:A24"/>
    <mergeCell ref="B23:B24"/>
    <mergeCell ref="C23:C24"/>
    <mergeCell ref="D23:D24"/>
    <mergeCell ref="E23:E24"/>
    <mergeCell ref="F23:F24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F30:F31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B43:B44"/>
    <mergeCell ref="G33:G34"/>
    <mergeCell ref="C43:C44"/>
    <mergeCell ref="D43:D44"/>
    <mergeCell ref="E43:E44"/>
    <mergeCell ref="F43:F44"/>
    <mergeCell ref="G39:G40"/>
    <mergeCell ref="H26:H27"/>
    <mergeCell ref="H28:H29"/>
    <mergeCell ref="H43:H44"/>
    <mergeCell ref="A45:A46"/>
    <mergeCell ref="B45:B46"/>
    <mergeCell ref="C45:C46"/>
    <mergeCell ref="D45:D46"/>
    <mergeCell ref="E45:E46"/>
    <mergeCell ref="F45:F46"/>
    <mergeCell ref="A43:A44"/>
    <mergeCell ref="H45:H46"/>
    <mergeCell ref="E47:F47"/>
    <mergeCell ref="H39:H40"/>
    <mergeCell ref="H41:H42"/>
    <mergeCell ref="H30:H31"/>
    <mergeCell ref="F33:F34"/>
    <mergeCell ref="F35:F36"/>
    <mergeCell ref="G41:G42"/>
    <mergeCell ref="G43:G44"/>
    <mergeCell ref="G45:G46"/>
    <mergeCell ref="G8:G9"/>
    <mergeCell ref="G20:G21"/>
    <mergeCell ref="G23:G24"/>
    <mergeCell ref="G26:G27"/>
    <mergeCell ref="G30:G31"/>
    <mergeCell ref="G28:G29"/>
    <mergeCell ref="A11:H11"/>
    <mergeCell ref="H20:H21"/>
    <mergeCell ref="H14:H15"/>
    <mergeCell ref="H23:H24"/>
    <mergeCell ref="I20:I21"/>
    <mergeCell ref="J20:J21"/>
    <mergeCell ref="L20:L21"/>
    <mergeCell ref="I23:I24"/>
    <mergeCell ref="J23:J24"/>
    <mergeCell ref="L23:L24"/>
    <mergeCell ref="I26:I27"/>
    <mergeCell ref="J26:J27"/>
    <mergeCell ref="L26:L27"/>
    <mergeCell ref="I28:I29"/>
    <mergeCell ref="J28:J29"/>
    <mergeCell ref="L28:L29"/>
    <mergeCell ref="I30:I31"/>
    <mergeCell ref="J30:J31"/>
    <mergeCell ref="L30:L31"/>
    <mergeCell ref="I39:I40"/>
    <mergeCell ref="I41:I42"/>
    <mergeCell ref="I43:I44"/>
    <mergeCell ref="I45:I46"/>
    <mergeCell ref="J39:J40"/>
    <mergeCell ref="L39:L40"/>
    <mergeCell ref="J41:J42"/>
    <mergeCell ref="L41:L42"/>
    <mergeCell ref="J43:J44"/>
    <mergeCell ref="L43:L44"/>
    <mergeCell ref="K43:K44"/>
    <mergeCell ref="K45:K46"/>
    <mergeCell ref="K41:K42"/>
    <mergeCell ref="J45:J46"/>
    <mergeCell ref="L45:L46"/>
    <mergeCell ref="K20:K21"/>
    <mergeCell ref="K23:K24"/>
    <mergeCell ref="K26:K27"/>
    <mergeCell ref="K28:K29"/>
    <mergeCell ref="K30:K31"/>
    <mergeCell ref="K39:K40"/>
    <mergeCell ref="M20:M21"/>
    <mergeCell ref="M23:M24"/>
    <mergeCell ref="M26:M27"/>
    <mergeCell ref="M28:M29"/>
    <mergeCell ref="M45:M46"/>
    <mergeCell ref="M39:M40"/>
    <mergeCell ref="M41:M42"/>
    <mergeCell ref="M43:M44"/>
    <mergeCell ref="M30:M31"/>
    <mergeCell ref="M16:M17"/>
    <mergeCell ref="M14:M15"/>
    <mergeCell ref="G16:G17"/>
    <mergeCell ref="H16:H17"/>
    <mergeCell ref="I16:I17"/>
    <mergeCell ref="A18:A19"/>
    <mergeCell ref="B18:B19"/>
    <mergeCell ref="C18:C19"/>
    <mergeCell ref="D18:D19"/>
    <mergeCell ref="E18:E19"/>
    <mergeCell ref="J18:J19"/>
    <mergeCell ref="K18:K19"/>
    <mergeCell ref="L18:L19"/>
    <mergeCell ref="J16:J17"/>
    <mergeCell ref="K16:K17"/>
    <mergeCell ref="L16:L17"/>
    <mergeCell ref="M18:M19"/>
    <mergeCell ref="A16:A17"/>
    <mergeCell ref="B16:B17"/>
    <mergeCell ref="C16:C17"/>
    <mergeCell ref="D16:D17"/>
    <mergeCell ref="E16:E17"/>
    <mergeCell ref="F16:F17"/>
    <mergeCell ref="G18:G19"/>
    <mergeCell ref="H18:H19"/>
    <mergeCell ref="I18:I19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D32:G32"/>
    <mergeCell ref="D25:G25"/>
    <mergeCell ref="D22:G22"/>
    <mergeCell ref="D13:G13"/>
    <mergeCell ref="D38:G38"/>
    <mergeCell ref="G14:G15"/>
    <mergeCell ref="F14:F15"/>
    <mergeCell ref="F18:F19"/>
    <mergeCell ref="G35:G36"/>
    <mergeCell ref="E20:E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6" r:id="rId2"/>
  <rowBreaks count="1" manualBreakCount="1">
    <brk id="42" max="7" man="1"/>
  </rowBreaks>
  <colBreaks count="1" manualBreakCount="1">
    <brk id="8" max="65535" man="1"/>
  </colBreaks>
  <ignoredErrors>
    <ignoredError sqref="H38 H2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C1">
      <selection activeCell="J19" sqref="J19"/>
    </sheetView>
  </sheetViews>
  <sheetFormatPr defaultColWidth="9.140625" defaultRowHeight="12.75"/>
  <cols>
    <col min="1" max="1" width="11.8515625" style="0" customWidth="1"/>
    <col min="2" max="2" width="39.421875" style="0" customWidth="1"/>
    <col min="3" max="3" width="23.8515625" style="0" customWidth="1"/>
    <col min="4" max="4" width="11.28125" style="0" customWidth="1"/>
    <col min="5" max="8" width="19.28125" style="0" bestFit="1" customWidth="1"/>
    <col min="9" max="10" width="20.7109375" style="0" customWidth="1"/>
    <col min="11" max="11" width="17.28125" style="0" customWidth="1"/>
    <col min="12" max="12" width="13.28125" style="0" customWidth="1"/>
  </cols>
  <sheetData>
    <row r="1" spans="1:10" ht="12.75">
      <c r="A1" s="460"/>
      <c r="B1" s="460"/>
      <c r="C1" s="460"/>
      <c r="D1" s="460"/>
      <c r="E1" s="460"/>
      <c r="F1" s="460"/>
      <c r="G1" s="460"/>
      <c r="H1" s="460"/>
      <c r="I1" s="460"/>
      <c r="J1" s="460"/>
    </row>
    <row r="2" spans="1:10" ht="12.75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0" ht="12.75">
      <c r="A3" s="460"/>
      <c r="B3" s="460"/>
      <c r="C3" s="460"/>
      <c r="D3" s="460"/>
      <c r="E3" s="460"/>
      <c r="F3" s="460"/>
      <c r="G3" s="460"/>
      <c r="H3" s="460"/>
      <c r="I3" s="460"/>
      <c r="J3" s="460"/>
    </row>
    <row r="4" spans="1:10" ht="1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</row>
    <row r="5" spans="1:10" ht="21" customHeight="1">
      <c r="A5" s="460"/>
      <c r="B5" s="460"/>
      <c r="C5" s="460"/>
      <c r="D5" s="460"/>
      <c r="E5" s="460"/>
      <c r="F5" s="460"/>
      <c r="G5" s="460"/>
      <c r="H5" s="460"/>
      <c r="I5" s="460"/>
      <c r="J5" s="460"/>
    </row>
    <row r="6" spans="1:10" ht="13.5" thickBot="1">
      <c r="A6" s="526"/>
      <c r="B6" s="526"/>
      <c r="C6" s="526"/>
      <c r="D6" s="526"/>
      <c r="E6" s="526"/>
      <c r="F6" s="526"/>
      <c r="G6" s="526"/>
      <c r="H6" s="526"/>
      <c r="I6" s="526"/>
      <c r="J6" s="526"/>
    </row>
    <row r="7" spans="1:10" ht="29.25" customHeight="1" thickBot="1">
      <c r="A7" s="527" t="s">
        <v>310</v>
      </c>
      <c r="B7" s="528"/>
      <c r="C7" s="528"/>
      <c r="D7" s="529" t="s">
        <v>313</v>
      </c>
      <c r="E7" s="530"/>
      <c r="F7" s="530"/>
      <c r="G7" s="530"/>
      <c r="H7" s="530"/>
      <c r="I7" s="530"/>
      <c r="J7" s="531"/>
    </row>
    <row r="8" spans="1:10" ht="73.5" customHeight="1" thickBot="1" thickTop="1">
      <c r="A8" s="527" t="s">
        <v>312</v>
      </c>
      <c r="B8" s="528"/>
      <c r="C8" s="528"/>
      <c r="D8" s="532" t="s">
        <v>311</v>
      </c>
      <c r="E8" s="533"/>
      <c r="F8" s="533"/>
      <c r="G8" s="533"/>
      <c r="H8" s="533"/>
      <c r="I8" s="533"/>
      <c r="J8" s="534"/>
    </row>
    <row r="9" spans="1:10" ht="27.75" customHeight="1" thickBot="1" thickTop="1">
      <c r="A9" s="535" t="s">
        <v>378</v>
      </c>
      <c r="B9" s="536"/>
      <c r="C9" s="536"/>
      <c r="D9" s="537">
        <f>'PLANILHA DE CUSTOS'!H47</f>
        <v>8607534.33</v>
      </c>
      <c r="E9" s="538"/>
      <c r="F9" s="538"/>
      <c r="G9" s="538"/>
      <c r="H9" s="538"/>
      <c r="I9" s="538"/>
      <c r="J9" s="539"/>
    </row>
    <row r="10" spans="1:10" ht="16.5" thickBot="1" thickTop="1">
      <c r="A10" s="542"/>
      <c r="B10" s="543"/>
      <c r="C10" s="543"/>
      <c r="D10" s="543"/>
      <c r="E10" s="543"/>
      <c r="F10" s="543"/>
      <c r="G10" s="543"/>
      <c r="H10" s="543"/>
      <c r="I10" s="543"/>
      <c r="J10" s="544"/>
    </row>
    <row r="11" spans="1:10" ht="17.25" customHeight="1">
      <c r="A11" s="545" t="s">
        <v>300</v>
      </c>
      <c r="B11" s="546"/>
      <c r="C11" s="546"/>
      <c r="D11" s="546"/>
      <c r="E11" s="546"/>
      <c r="F11" s="546"/>
      <c r="G11" s="546"/>
      <c r="H11" s="546"/>
      <c r="I11" s="546"/>
      <c r="J11" s="547"/>
    </row>
    <row r="12" spans="1:10" ht="13.5" thickBot="1">
      <c r="A12" s="548"/>
      <c r="B12" s="549"/>
      <c r="C12" s="549"/>
      <c r="D12" s="549"/>
      <c r="E12" s="549"/>
      <c r="F12" s="549"/>
      <c r="G12" s="549"/>
      <c r="H12" s="549"/>
      <c r="I12" s="549"/>
      <c r="J12" s="550"/>
    </row>
    <row r="13" spans="1:10" ht="15.75">
      <c r="A13" s="521" t="s">
        <v>96</v>
      </c>
      <c r="B13" s="515" t="s">
        <v>301</v>
      </c>
      <c r="C13" s="515" t="s">
        <v>302</v>
      </c>
      <c r="D13" s="524" t="s">
        <v>303</v>
      </c>
      <c r="E13" s="182" t="s">
        <v>304</v>
      </c>
      <c r="F13" s="182" t="s">
        <v>304</v>
      </c>
      <c r="G13" s="182" t="s">
        <v>304</v>
      </c>
      <c r="H13" s="182" t="s">
        <v>304</v>
      </c>
      <c r="I13" s="182" t="s">
        <v>304</v>
      </c>
      <c r="J13" s="182" t="s">
        <v>304</v>
      </c>
    </row>
    <row r="14" spans="1:10" ht="16.5" thickBot="1">
      <c r="A14" s="522"/>
      <c r="B14" s="516"/>
      <c r="C14" s="516"/>
      <c r="D14" s="525"/>
      <c r="E14" s="183">
        <v>60</v>
      </c>
      <c r="F14" s="183">
        <v>120</v>
      </c>
      <c r="G14" s="183">
        <v>180</v>
      </c>
      <c r="H14" s="183">
        <v>240</v>
      </c>
      <c r="I14" s="183">
        <v>300</v>
      </c>
      <c r="J14" s="183">
        <v>360</v>
      </c>
    </row>
    <row r="15" spans="1:11" ht="15">
      <c r="A15" s="518" t="str">
        <f>'PLANILHA DE CUSTOS'!A13</f>
        <v>1.1</v>
      </c>
      <c r="B15" s="517" t="str">
        <f>'PLANILHA DE CUSTOS'!C13</f>
        <v>SERVIÇOS PRELIMINARES</v>
      </c>
      <c r="C15" s="520">
        <f>'PLANILHA DE CUSTOS'!H13</f>
        <v>142537.89</v>
      </c>
      <c r="D15" s="523">
        <f>ROUND(C15/$C$25,5)</f>
        <v>0.01656</v>
      </c>
      <c r="E15" s="184">
        <v>1</v>
      </c>
      <c r="F15" s="184"/>
      <c r="G15" s="184"/>
      <c r="H15" s="184"/>
      <c r="I15" s="185"/>
      <c r="J15" s="184"/>
      <c r="K15" s="188">
        <f aca="true" t="shared" si="0" ref="K15:K24">SUM(E15:J15)</f>
        <v>1</v>
      </c>
    </row>
    <row r="16" spans="1:12" ht="15.75" thickBot="1">
      <c r="A16" s="519"/>
      <c r="B16" s="517"/>
      <c r="C16" s="520"/>
      <c r="D16" s="523"/>
      <c r="E16" s="186">
        <f>ROUND(E15*$C$15,2)</f>
        <v>142537.89</v>
      </c>
      <c r="F16" s="187"/>
      <c r="G16" s="187"/>
      <c r="H16" s="187"/>
      <c r="I16" s="187"/>
      <c r="J16" s="187"/>
      <c r="K16" s="200">
        <f t="shared" si="0"/>
        <v>142537.89</v>
      </c>
      <c r="L16" s="202">
        <f>K16-C15</f>
        <v>0</v>
      </c>
    </row>
    <row r="17" spans="1:12" ht="15">
      <c r="A17" s="518" t="str">
        <f>'PLANILHA DE CUSTOS'!A22</f>
        <v>1.2</v>
      </c>
      <c r="B17" s="517" t="str">
        <f>'PLANILHA DE CUSTOS'!C22</f>
        <v>DESMATAMENTO E LIMPEZA:</v>
      </c>
      <c r="C17" s="520">
        <f>'PLANILHA DE CUSTOS'!H22</f>
        <v>238077</v>
      </c>
      <c r="D17" s="523">
        <f>ROUND(C17/$C$25,5)</f>
        <v>0.02766</v>
      </c>
      <c r="E17" s="184">
        <v>0.3</v>
      </c>
      <c r="F17" s="184">
        <v>0.3</v>
      </c>
      <c r="G17" s="184">
        <v>0.4</v>
      </c>
      <c r="H17" s="184"/>
      <c r="I17" s="184"/>
      <c r="J17" s="184"/>
      <c r="K17" s="188">
        <f t="shared" si="0"/>
        <v>1</v>
      </c>
      <c r="L17" s="202">
        <f aca="true" t="shared" si="1" ref="L17:L24">K17-C16</f>
        <v>1</v>
      </c>
    </row>
    <row r="18" spans="1:12" ht="15.75" thickBot="1">
      <c r="A18" s="519"/>
      <c r="B18" s="517"/>
      <c r="C18" s="520"/>
      <c r="D18" s="523"/>
      <c r="E18" s="186">
        <f>ROUND($C$17*E17,2)</f>
        <v>71423.1</v>
      </c>
      <c r="F18" s="186">
        <f>ROUND($C$17*F17,2)</f>
        <v>71423.1</v>
      </c>
      <c r="G18" s="186">
        <f>ROUND($C$17*G17,2)</f>
        <v>95230.8</v>
      </c>
      <c r="H18" s="186"/>
      <c r="I18" s="186"/>
      <c r="J18" s="186"/>
      <c r="K18" s="200">
        <f t="shared" si="0"/>
        <v>238077</v>
      </c>
      <c r="L18" s="202">
        <f t="shared" si="1"/>
        <v>0</v>
      </c>
    </row>
    <row r="19" spans="1:12" ht="15">
      <c r="A19" s="518" t="str">
        <f>'PLANILHA DE CUSTOS'!A25:A25</f>
        <v>1.3</v>
      </c>
      <c r="B19" s="517" t="str">
        <f>'PLANILHA DE CUSTOS'!C25</f>
        <v>TERRAPLANAGEM:</v>
      </c>
      <c r="C19" s="520">
        <f>'PLANILHA DE CUSTOS'!H25</f>
        <v>4026146.6</v>
      </c>
      <c r="D19" s="523">
        <f>ROUND(C19/$C$25,5)</f>
        <v>0.46775</v>
      </c>
      <c r="E19" s="184">
        <v>0.2</v>
      </c>
      <c r="F19" s="184">
        <v>0.2</v>
      </c>
      <c r="G19" s="184">
        <v>0.3</v>
      </c>
      <c r="H19" s="184">
        <v>0.3</v>
      </c>
      <c r="I19" s="184"/>
      <c r="J19" s="184"/>
      <c r="K19" s="188">
        <f t="shared" si="0"/>
        <v>1</v>
      </c>
      <c r="L19" s="202">
        <f t="shared" si="1"/>
        <v>1</v>
      </c>
    </row>
    <row r="20" spans="1:12" ht="15.75" thickBot="1">
      <c r="A20" s="519"/>
      <c r="B20" s="517"/>
      <c r="C20" s="520"/>
      <c r="D20" s="523"/>
      <c r="E20" s="186">
        <f>ROUND($C$19*E19,2)</f>
        <v>805229.32</v>
      </c>
      <c r="F20" s="186">
        <f>ROUND($C$19*F19,2)</f>
        <v>805229.32</v>
      </c>
      <c r="G20" s="186">
        <f>ROUND($C$19*G19,2)</f>
        <v>1207843.98</v>
      </c>
      <c r="H20" s="186">
        <f>ROUND($C$19*H19,2)</f>
        <v>1207843.98</v>
      </c>
      <c r="I20" s="186"/>
      <c r="J20" s="186"/>
      <c r="K20" s="200">
        <f t="shared" si="0"/>
        <v>4026146.6</v>
      </c>
      <c r="L20" s="202">
        <f t="shared" si="1"/>
        <v>0</v>
      </c>
    </row>
    <row r="21" spans="1:12" ht="15">
      <c r="A21" s="518" t="str">
        <f>'PLANILHA DE CUSTOS'!A32</f>
        <v>1.4</v>
      </c>
      <c r="B21" s="517" t="str">
        <f>'PLANILHA DE CUSTOS'!C32</f>
        <v>OBRAS DE ARTES CORRENTES E ESPECIAIS</v>
      </c>
      <c r="C21" s="540">
        <f>'PLANILHA DE CUSTOS'!H32</f>
        <v>209285.34</v>
      </c>
      <c r="D21" s="523">
        <f>ROUND(C21/$C$25,5)</f>
        <v>0.02431</v>
      </c>
      <c r="E21" s="184">
        <v>0.5</v>
      </c>
      <c r="F21" s="184">
        <v>0.5</v>
      </c>
      <c r="G21" s="184"/>
      <c r="H21" s="184"/>
      <c r="I21" s="184"/>
      <c r="J21" s="184"/>
      <c r="K21" s="188">
        <f t="shared" si="0"/>
        <v>1</v>
      </c>
      <c r="L21" s="202">
        <f t="shared" si="1"/>
        <v>1</v>
      </c>
    </row>
    <row r="22" spans="1:12" ht="15.75" thickBot="1">
      <c r="A22" s="519"/>
      <c r="B22" s="517"/>
      <c r="C22" s="541"/>
      <c r="D22" s="523"/>
      <c r="E22" s="186">
        <f>ROUND($C$21*E21,2)</f>
        <v>104642.67</v>
      </c>
      <c r="F22" s="186">
        <f>ROUND($C$21*F21,2)</f>
        <v>104642.67</v>
      </c>
      <c r="G22" s="186"/>
      <c r="H22" s="187"/>
      <c r="I22" s="186"/>
      <c r="J22" s="186"/>
      <c r="K22" s="200">
        <f t="shared" si="0"/>
        <v>209285.34</v>
      </c>
      <c r="L22" s="202">
        <f t="shared" si="1"/>
        <v>0</v>
      </c>
    </row>
    <row r="23" spans="1:12" ht="15">
      <c r="A23" s="518" t="str">
        <f>'PLANILHA DE CUSTOS'!A38</f>
        <v>1.5</v>
      </c>
      <c r="B23" s="517" t="str">
        <f>'PLANILHA DE CUSTOS'!C38</f>
        <v>REVESTIMENTO PRIMARIO (Espessura 10,0cm) </v>
      </c>
      <c r="C23" s="520">
        <f>'PLANILHA DE CUSTOS'!H38</f>
        <v>3991487.5</v>
      </c>
      <c r="D23" s="523">
        <f>ROUND(C23/$C$25,5)</f>
        <v>0.46372</v>
      </c>
      <c r="E23" s="184"/>
      <c r="F23" s="184"/>
      <c r="G23" s="184">
        <v>0.2</v>
      </c>
      <c r="H23" s="184">
        <v>0.2</v>
      </c>
      <c r="I23" s="184">
        <v>0.3</v>
      </c>
      <c r="J23" s="184">
        <v>0.3</v>
      </c>
      <c r="K23" s="188">
        <f t="shared" si="0"/>
        <v>1</v>
      </c>
      <c r="L23" s="202">
        <f t="shared" si="1"/>
        <v>1</v>
      </c>
    </row>
    <row r="24" spans="1:12" ht="15.75" thickBot="1">
      <c r="A24" s="519"/>
      <c r="B24" s="517"/>
      <c r="C24" s="520"/>
      <c r="D24" s="523"/>
      <c r="E24" s="187"/>
      <c r="F24" s="187"/>
      <c r="G24" s="186">
        <f>ROUND($C$23*G23,2)</f>
        <v>798297.5</v>
      </c>
      <c r="H24" s="186">
        <f>ROUND($C$23*H23,2)</f>
        <v>798297.5</v>
      </c>
      <c r="I24" s="186">
        <f>ROUND($C$23*I23,2)</f>
        <v>1197446.25</v>
      </c>
      <c r="J24" s="186">
        <f>ROUND($C$23*J23,2)</f>
        <v>1197446.25</v>
      </c>
      <c r="K24" s="200">
        <f t="shared" si="0"/>
        <v>3991487.5</v>
      </c>
      <c r="L24" s="202">
        <f t="shared" si="1"/>
        <v>0</v>
      </c>
    </row>
    <row r="25" spans="1:10" ht="16.5" thickBot="1">
      <c r="A25" s="553" t="s">
        <v>127</v>
      </c>
      <c r="B25" s="554"/>
      <c r="C25" s="189">
        <f>SUM(C15:C24)</f>
        <v>8607534.33</v>
      </c>
      <c r="D25" s="190">
        <f>SUM(D15:D24)</f>
        <v>1</v>
      </c>
      <c r="E25" s="555"/>
      <c r="F25" s="556"/>
      <c r="G25" s="556"/>
      <c r="H25" s="556"/>
      <c r="I25" s="556"/>
      <c r="J25" s="557"/>
    </row>
    <row r="26" spans="1:11" ht="15.75">
      <c r="A26" s="558" t="s">
        <v>305</v>
      </c>
      <c r="B26" s="559"/>
      <c r="C26" s="559"/>
      <c r="D26" s="191"/>
      <c r="E26" s="192">
        <f>E20+E16+E22+E18</f>
        <v>1123832.98</v>
      </c>
      <c r="F26" s="192">
        <f>SUM(F18+F22+F20)</f>
        <v>981295.09</v>
      </c>
      <c r="G26" s="192">
        <f>SUM(G18+G24+G20)</f>
        <v>2101372.2800000003</v>
      </c>
      <c r="H26" s="192">
        <f>SUM(H24,H20)</f>
        <v>2006141.48</v>
      </c>
      <c r="I26" s="192">
        <f>SUM(I24)</f>
        <v>1197446.25</v>
      </c>
      <c r="J26" s="192">
        <f>SUM(J24)</f>
        <v>1197446.25</v>
      </c>
      <c r="K26" s="204"/>
    </row>
    <row r="27" spans="1:11" ht="15.75">
      <c r="A27" s="558" t="s">
        <v>306</v>
      </c>
      <c r="B27" s="559"/>
      <c r="C27" s="559"/>
      <c r="D27" s="191"/>
      <c r="E27" s="193">
        <f aca="true" t="shared" si="2" ref="E27:J27">E26/$C$25</f>
        <v>0.1305638684568569</v>
      </c>
      <c r="F27" s="193">
        <f t="shared" si="2"/>
        <v>0.1140042028737398</v>
      </c>
      <c r="G27" s="193">
        <f t="shared" si="2"/>
        <v>0.24413173383184175</v>
      </c>
      <c r="H27" s="193">
        <f t="shared" si="2"/>
        <v>0.23306807769653123</v>
      </c>
      <c r="I27" s="193">
        <f t="shared" si="2"/>
        <v>0.13911605857051515</v>
      </c>
      <c r="J27" s="193">
        <f t="shared" si="2"/>
        <v>0.13911605857051515</v>
      </c>
      <c r="K27" s="203">
        <f>SUM(E27:J27)</f>
        <v>1</v>
      </c>
    </row>
    <row r="28" spans="1:10" ht="15.75">
      <c r="A28" s="558" t="s">
        <v>307</v>
      </c>
      <c r="B28" s="559"/>
      <c r="C28" s="559"/>
      <c r="D28" s="191"/>
      <c r="E28" s="194">
        <f>E26</f>
        <v>1123832.98</v>
      </c>
      <c r="F28" s="194">
        <f>SUM(E28,F26)</f>
        <v>2105128.07</v>
      </c>
      <c r="G28" s="194">
        <f>SUM(F28,G26)</f>
        <v>4206500.35</v>
      </c>
      <c r="H28" s="194">
        <f aca="true" t="shared" si="3" ref="F28:J29">G28+H26</f>
        <v>6212641.83</v>
      </c>
      <c r="I28" s="195">
        <f t="shared" si="3"/>
        <v>7410088.08</v>
      </c>
      <c r="J28" s="195">
        <f t="shared" si="3"/>
        <v>8607534.33</v>
      </c>
    </row>
    <row r="29" spans="1:10" ht="16.5" thickBot="1">
      <c r="A29" s="551" t="s">
        <v>308</v>
      </c>
      <c r="B29" s="552"/>
      <c r="C29" s="552"/>
      <c r="D29" s="196"/>
      <c r="E29" s="197">
        <f>E27</f>
        <v>0.1305638684568569</v>
      </c>
      <c r="F29" s="197">
        <f t="shared" si="3"/>
        <v>0.24456807133059671</v>
      </c>
      <c r="G29" s="197">
        <f t="shared" si="3"/>
        <v>0.4886998051624385</v>
      </c>
      <c r="H29" s="197">
        <f t="shared" si="3"/>
        <v>0.7217678828589698</v>
      </c>
      <c r="I29" s="197">
        <f t="shared" si="3"/>
        <v>0.8608839414294849</v>
      </c>
      <c r="J29" s="197">
        <f t="shared" si="3"/>
        <v>1</v>
      </c>
    </row>
    <row r="30" spans="1:10" ht="12.75">
      <c r="A30" s="513"/>
      <c r="B30" s="513"/>
      <c r="C30" s="513"/>
      <c r="D30" s="513"/>
      <c r="E30" s="513"/>
      <c r="F30" s="513"/>
      <c r="G30" s="513"/>
      <c r="H30" s="513"/>
      <c r="I30" s="513"/>
      <c r="J30" s="513"/>
    </row>
    <row r="31" spans="1:10" ht="12.75">
      <c r="A31" s="514"/>
      <c r="B31" s="514"/>
      <c r="C31" s="514"/>
      <c r="D31" s="514"/>
      <c r="E31" s="514"/>
      <c r="F31" s="514"/>
      <c r="G31" s="514"/>
      <c r="H31" s="514"/>
      <c r="I31" s="514"/>
      <c r="J31" s="514"/>
    </row>
    <row r="32" spans="1:10" ht="12.75">
      <c r="A32" s="514"/>
      <c r="B32" s="514"/>
      <c r="C32" s="514"/>
      <c r="D32" s="514"/>
      <c r="E32" s="514"/>
      <c r="F32" s="514"/>
      <c r="G32" s="514"/>
      <c r="H32" s="514"/>
      <c r="I32" s="514"/>
      <c r="J32" s="514"/>
    </row>
    <row r="33" spans="1:10" ht="12.75">
      <c r="A33" s="514"/>
      <c r="B33" s="514"/>
      <c r="C33" s="514"/>
      <c r="D33" s="514"/>
      <c r="E33" s="514"/>
      <c r="F33" s="514"/>
      <c r="G33" s="514"/>
      <c r="H33" s="514"/>
      <c r="I33" s="514"/>
      <c r="J33" s="514"/>
    </row>
    <row r="34" spans="1:10" ht="12.75">
      <c r="A34" s="514"/>
      <c r="B34" s="514"/>
      <c r="C34" s="514"/>
      <c r="D34" s="514"/>
      <c r="E34" s="514"/>
      <c r="F34" s="514"/>
      <c r="G34" s="514"/>
      <c r="H34" s="514"/>
      <c r="I34" s="514"/>
      <c r="J34" s="514"/>
    </row>
    <row r="35" spans="1:10" ht="12.75">
      <c r="A35" s="514"/>
      <c r="B35" s="514"/>
      <c r="C35" s="514"/>
      <c r="D35" s="514"/>
      <c r="E35" s="514"/>
      <c r="F35" s="514"/>
      <c r="G35" s="514"/>
      <c r="H35" s="514"/>
      <c r="I35" s="514"/>
      <c r="J35" s="514"/>
    </row>
    <row r="36" spans="1:10" ht="12.75">
      <c r="A36" s="514"/>
      <c r="B36" s="514"/>
      <c r="C36" s="514"/>
      <c r="D36" s="514"/>
      <c r="E36" s="514"/>
      <c r="F36" s="514"/>
      <c r="G36" s="514"/>
      <c r="H36" s="514"/>
      <c r="I36" s="514"/>
      <c r="J36" s="514"/>
    </row>
    <row r="37" spans="1:10" ht="12.75">
      <c r="A37" s="514"/>
      <c r="B37" s="514"/>
      <c r="C37" s="514"/>
      <c r="D37" s="514"/>
      <c r="E37" s="514"/>
      <c r="F37" s="514"/>
      <c r="G37" s="514"/>
      <c r="H37" s="514"/>
      <c r="I37" s="514"/>
      <c r="J37" s="514"/>
    </row>
  </sheetData>
  <sheetProtection/>
  <mergeCells count="40">
    <mergeCell ref="D23:D24"/>
    <mergeCell ref="A25:B25"/>
    <mergeCell ref="E25:J25"/>
    <mergeCell ref="A26:C26"/>
    <mergeCell ref="A27:C27"/>
    <mergeCell ref="A28:C28"/>
    <mergeCell ref="A29:C29"/>
    <mergeCell ref="A19:A20"/>
    <mergeCell ref="B19:B20"/>
    <mergeCell ref="C19:C20"/>
    <mergeCell ref="A23:A24"/>
    <mergeCell ref="B23:B24"/>
    <mergeCell ref="C23:C24"/>
    <mergeCell ref="D19:D20"/>
    <mergeCell ref="A21:A22"/>
    <mergeCell ref="B21:B22"/>
    <mergeCell ref="C21:C22"/>
    <mergeCell ref="D21:D22"/>
    <mergeCell ref="A10:J10"/>
    <mergeCell ref="A11:J12"/>
    <mergeCell ref="A17:A18"/>
    <mergeCell ref="B17:B18"/>
    <mergeCell ref="C17:C18"/>
    <mergeCell ref="A1:J6"/>
    <mergeCell ref="A7:C7"/>
    <mergeCell ref="D7:J7"/>
    <mergeCell ref="A8:C8"/>
    <mergeCell ref="D8:J8"/>
    <mergeCell ref="A9:C9"/>
    <mergeCell ref="D9:J9"/>
    <mergeCell ref="A30:J37"/>
    <mergeCell ref="B13:B14"/>
    <mergeCell ref="B15:B16"/>
    <mergeCell ref="A15:A16"/>
    <mergeCell ref="C15:C16"/>
    <mergeCell ref="A13:A14"/>
    <mergeCell ref="C13:C14"/>
    <mergeCell ref="D15:D16"/>
    <mergeCell ref="D13:D14"/>
    <mergeCell ref="D17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rowBreaks count="2" manualBreakCount="2">
    <brk id="37" max="11" man="1"/>
    <brk id="59" max="11" man="1"/>
  </rowBreaks>
  <colBreaks count="1" manualBreakCount="1">
    <brk id="10" max="5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SheetLayoutView="100" zoomScalePageLayoutView="0" workbookViewId="0" topLeftCell="A37">
      <selection activeCell="K128" sqref="K128"/>
    </sheetView>
  </sheetViews>
  <sheetFormatPr defaultColWidth="9.140625" defaultRowHeight="12.75"/>
  <cols>
    <col min="1" max="1" width="8.8515625" style="0" customWidth="1"/>
    <col min="2" max="2" width="50.57421875" style="0" customWidth="1"/>
    <col min="3" max="3" width="11.00390625" style="0" customWidth="1"/>
    <col min="4" max="4" width="8.7109375" style="0" customWidth="1"/>
    <col min="5" max="5" width="13.421875" style="0" customWidth="1"/>
    <col min="6" max="6" width="27.8515625" style="1" customWidth="1"/>
    <col min="7" max="7" width="17.421875" style="0" customWidth="1"/>
  </cols>
  <sheetData>
    <row r="1" spans="1:7" ht="12.75">
      <c r="A1" s="460"/>
      <c r="B1" s="460"/>
      <c r="C1" s="460"/>
      <c r="D1" s="460"/>
      <c r="E1" s="460"/>
      <c r="F1" s="460"/>
      <c r="G1" s="460"/>
    </row>
    <row r="2" spans="1:7" ht="12.75">
      <c r="A2" s="460"/>
      <c r="B2" s="460"/>
      <c r="C2" s="460"/>
      <c r="D2" s="460"/>
      <c r="E2" s="460"/>
      <c r="F2" s="460"/>
      <c r="G2" s="460"/>
    </row>
    <row r="3" spans="1:7" ht="12.75">
      <c r="A3" s="460"/>
      <c r="B3" s="460"/>
      <c r="C3" s="460"/>
      <c r="D3" s="460"/>
      <c r="E3" s="460"/>
      <c r="F3" s="460"/>
      <c r="G3" s="460"/>
    </row>
    <row r="4" spans="1:7" ht="12.75">
      <c r="A4" s="460"/>
      <c r="B4" s="460"/>
      <c r="C4" s="460"/>
      <c r="D4" s="460"/>
      <c r="E4" s="460"/>
      <c r="F4" s="460"/>
      <c r="G4" s="460"/>
    </row>
    <row r="5" spans="1:7" ht="12.75">
      <c r="A5" s="460"/>
      <c r="B5" s="460"/>
      <c r="C5" s="460"/>
      <c r="D5" s="460"/>
      <c r="E5" s="460"/>
      <c r="F5" s="460"/>
      <c r="G5" s="460"/>
    </row>
    <row r="6" spans="1:7" ht="13.5" thickBot="1">
      <c r="A6" s="461"/>
      <c r="B6" s="461"/>
      <c r="C6" s="461"/>
      <c r="D6" s="461"/>
      <c r="E6" s="461"/>
      <c r="F6" s="461"/>
      <c r="G6" s="461"/>
    </row>
    <row r="7" spans="1:7" ht="29.25" customHeight="1" thickBot="1" thickTop="1">
      <c r="A7" s="571" t="s">
        <v>158</v>
      </c>
      <c r="B7" s="572"/>
      <c r="C7" s="572"/>
      <c r="D7" s="572"/>
      <c r="E7" s="573"/>
      <c r="F7" s="136" t="s">
        <v>159</v>
      </c>
      <c r="G7" s="131">
        <v>44543</v>
      </c>
    </row>
    <row r="8" spans="1:7" ht="79.5" customHeight="1" thickBot="1" thickTop="1">
      <c r="A8" s="571" t="s">
        <v>298</v>
      </c>
      <c r="B8" s="572"/>
      <c r="C8" s="572"/>
      <c r="D8" s="573"/>
      <c r="E8" s="132" t="s">
        <v>160</v>
      </c>
      <c r="F8" s="574">
        <f>'PLANILHA DE CUSTOS'!H47</f>
        <v>8607534.33</v>
      </c>
      <c r="G8" s="575"/>
    </row>
    <row r="9" spans="1:7" ht="48" customHeight="1" thickBot="1" thickTop="1">
      <c r="A9" s="571" t="s">
        <v>377</v>
      </c>
      <c r="B9" s="572"/>
      <c r="C9" s="573"/>
      <c r="D9" s="132"/>
      <c r="E9" s="576" t="s">
        <v>278</v>
      </c>
      <c r="F9" s="577"/>
      <c r="G9" s="578"/>
    </row>
    <row r="10" spans="1:7" ht="17.25" thickTop="1">
      <c r="A10" s="133"/>
      <c r="B10" s="134"/>
      <c r="C10" s="134"/>
      <c r="D10" s="134"/>
      <c r="E10" s="134"/>
      <c r="F10" s="137"/>
      <c r="G10" s="135"/>
    </row>
    <row r="11" spans="1:7" ht="18" customHeight="1">
      <c r="A11" s="563" t="s">
        <v>336</v>
      </c>
      <c r="B11" s="564"/>
      <c r="C11" s="564"/>
      <c r="D11" s="564"/>
      <c r="E11" s="564"/>
      <c r="F11" s="564"/>
      <c r="G11" s="565"/>
    </row>
    <row r="12" spans="1:7" ht="13.5">
      <c r="A12" s="566" t="s">
        <v>338</v>
      </c>
      <c r="B12" s="567"/>
      <c r="C12" s="259" t="s">
        <v>162</v>
      </c>
      <c r="D12" s="259" t="s">
        <v>163</v>
      </c>
      <c r="E12" s="259" t="s">
        <v>164</v>
      </c>
      <c r="F12" s="260" t="s">
        <v>165</v>
      </c>
      <c r="G12" s="259" t="s">
        <v>127</v>
      </c>
    </row>
    <row r="13" spans="1:7" ht="27">
      <c r="A13" s="138">
        <v>90778</v>
      </c>
      <c r="B13" s="138" t="s">
        <v>329</v>
      </c>
      <c r="C13" s="139" t="s">
        <v>121</v>
      </c>
      <c r="D13" s="139" t="s">
        <v>180</v>
      </c>
      <c r="E13" s="262">
        <v>0.835</v>
      </c>
      <c r="F13" s="262">
        <v>93.3</v>
      </c>
      <c r="G13" s="262">
        <v>93.3</v>
      </c>
    </row>
    <row r="14" spans="1:7" ht="13.5">
      <c r="A14" s="579"/>
      <c r="B14" s="580"/>
      <c r="C14" s="580"/>
      <c r="D14" s="580"/>
      <c r="E14" s="581"/>
      <c r="F14" s="141" t="s">
        <v>169</v>
      </c>
      <c r="G14" s="261">
        <f>SUM(G13:G13)</f>
        <v>93.3</v>
      </c>
    </row>
    <row r="15" spans="1:7" ht="18" customHeight="1">
      <c r="A15" s="563" t="s">
        <v>337</v>
      </c>
      <c r="B15" s="564"/>
      <c r="C15" s="564"/>
      <c r="D15" s="564"/>
      <c r="E15" s="564"/>
      <c r="F15" s="564"/>
      <c r="G15" s="565"/>
    </row>
    <row r="16" spans="1:7" ht="13.5">
      <c r="A16" s="566" t="s">
        <v>338</v>
      </c>
      <c r="B16" s="567"/>
      <c r="C16" s="142" t="s">
        <v>162</v>
      </c>
      <c r="D16" s="142" t="s">
        <v>163</v>
      </c>
      <c r="E16" s="142" t="s">
        <v>164</v>
      </c>
      <c r="F16" s="143" t="s">
        <v>165</v>
      </c>
      <c r="G16" s="142" t="s">
        <v>127</v>
      </c>
    </row>
    <row r="17" spans="1:7" ht="27">
      <c r="A17" s="138">
        <v>90776</v>
      </c>
      <c r="B17" s="138" t="s">
        <v>330</v>
      </c>
      <c r="C17" s="139" t="s">
        <v>121</v>
      </c>
      <c r="D17" s="139" t="s">
        <v>180</v>
      </c>
      <c r="E17" s="262">
        <v>2.505</v>
      </c>
      <c r="F17" s="262">
        <v>18.51</v>
      </c>
      <c r="G17" s="262">
        <v>18.51</v>
      </c>
    </row>
    <row r="18" spans="1:7" ht="13.5">
      <c r="A18" s="560"/>
      <c r="B18" s="561"/>
      <c r="C18" s="561"/>
      <c r="D18" s="561"/>
      <c r="E18" s="562"/>
      <c r="F18" s="148" t="s">
        <v>169</v>
      </c>
      <c r="G18" s="150">
        <f>SUM(G17:G17)</f>
        <v>18.51</v>
      </c>
    </row>
    <row r="19" spans="1:7" ht="18" customHeight="1">
      <c r="A19" s="563" t="s">
        <v>341</v>
      </c>
      <c r="B19" s="564"/>
      <c r="C19" s="564"/>
      <c r="D19" s="564"/>
      <c r="E19" s="564"/>
      <c r="F19" s="564"/>
      <c r="G19" s="565"/>
    </row>
    <row r="20" spans="1:7" ht="13.5">
      <c r="A20" s="566" t="s">
        <v>161</v>
      </c>
      <c r="B20" s="567"/>
      <c r="C20" s="142" t="s">
        <v>162</v>
      </c>
      <c r="D20" s="142" t="s">
        <v>163</v>
      </c>
      <c r="E20" s="142" t="s">
        <v>164</v>
      </c>
      <c r="F20" s="143" t="s">
        <v>165</v>
      </c>
      <c r="G20" s="142" t="s">
        <v>127</v>
      </c>
    </row>
    <row r="21" spans="1:7" ht="27">
      <c r="A21" s="138">
        <v>99058</v>
      </c>
      <c r="B21" s="138" t="s">
        <v>339</v>
      </c>
      <c r="C21" s="139" t="s">
        <v>121</v>
      </c>
      <c r="D21" s="139" t="s">
        <v>340</v>
      </c>
      <c r="E21" s="262">
        <v>0.05</v>
      </c>
      <c r="F21" s="262">
        <v>6.09</v>
      </c>
      <c r="G21" s="262">
        <v>0.3</v>
      </c>
    </row>
    <row r="22" spans="1:7" ht="13.5">
      <c r="A22" s="560"/>
      <c r="B22" s="561"/>
      <c r="C22" s="561"/>
      <c r="D22" s="561"/>
      <c r="E22" s="562"/>
      <c r="F22" s="148" t="s">
        <v>169</v>
      </c>
      <c r="G22" s="150">
        <f>SUM(G21:G21)</f>
        <v>0.3</v>
      </c>
    </row>
    <row r="23" spans="1:7" ht="18" customHeight="1">
      <c r="A23" s="563" t="s">
        <v>342</v>
      </c>
      <c r="B23" s="564"/>
      <c r="C23" s="564"/>
      <c r="D23" s="564"/>
      <c r="E23" s="564"/>
      <c r="F23" s="564"/>
      <c r="G23" s="565"/>
    </row>
    <row r="24" spans="1:7" ht="13.5">
      <c r="A24" s="566" t="s">
        <v>161</v>
      </c>
      <c r="B24" s="567"/>
      <c r="C24" s="142" t="s">
        <v>162</v>
      </c>
      <c r="D24" s="142" t="s">
        <v>163</v>
      </c>
      <c r="E24" s="142" t="s">
        <v>164</v>
      </c>
      <c r="F24" s="143" t="s">
        <v>165</v>
      </c>
      <c r="G24" s="142" t="s">
        <v>127</v>
      </c>
    </row>
    <row r="25" spans="1:7" ht="13.5">
      <c r="A25" s="138" t="s">
        <v>170</v>
      </c>
      <c r="B25" s="138" t="s">
        <v>171</v>
      </c>
      <c r="C25" s="139" t="s">
        <v>172</v>
      </c>
      <c r="D25" s="139" t="s">
        <v>173</v>
      </c>
      <c r="E25" s="144">
        <v>0.48</v>
      </c>
      <c r="F25" s="145">
        <v>150</v>
      </c>
      <c r="G25" s="146">
        <f>E25*F25</f>
        <v>72</v>
      </c>
    </row>
    <row r="26" spans="1:7" ht="13.5">
      <c r="A26" s="138" t="s">
        <v>174</v>
      </c>
      <c r="B26" s="138" t="s">
        <v>175</v>
      </c>
      <c r="C26" s="139" t="s">
        <v>172</v>
      </c>
      <c r="D26" s="139" t="s">
        <v>166</v>
      </c>
      <c r="E26" s="144">
        <v>1</v>
      </c>
      <c r="F26" s="145">
        <v>97</v>
      </c>
      <c r="G26" s="146">
        <f>E26*F26</f>
        <v>97</v>
      </c>
    </row>
    <row r="27" spans="1:7" ht="13.5">
      <c r="A27" s="138" t="s">
        <v>176</v>
      </c>
      <c r="B27" s="138" t="s">
        <v>177</v>
      </c>
      <c r="C27" s="139" t="s">
        <v>172</v>
      </c>
      <c r="D27" s="139" t="s">
        <v>178</v>
      </c>
      <c r="E27" s="144">
        <v>0.1</v>
      </c>
      <c r="F27" s="147">
        <v>16.39</v>
      </c>
      <c r="G27" s="146">
        <f>E27*F27</f>
        <v>1.6390000000000002</v>
      </c>
    </row>
    <row r="28" spans="1:7" ht="13.5">
      <c r="A28" s="138">
        <v>280013</v>
      </c>
      <c r="B28" s="138" t="s">
        <v>179</v>
      </c>
      <c r="C28" s="139" t="s">
        <v>172</v>
      </c>
      <c r="D28" s="139" t="s">
        <v>180</v>
      </c>
      <c r="E28" s="144">
        <v>0.4</v>
      </c>
      <c r="F28" s="147">
        <v>20.04</v>
      </c>
      <c r="G28" s="146">
        <f>E28*F28</f>
        <v>8.016</v>
      </c>
    </row>
    <row r="29" spans="1:7" ht="13.5">
      <c r="A29" s="138">
        <v>280026</v>
      </c>
      <c r="B29" s="138" t="s">
        <v>181</v>
      </c>
      <c r="C29" s="139" t="s">
        <v>172</v>
      </c>
      <c r="D29" s="139" t="s">
        <v>180</v>
      </c>
      <c r="E29" s="144">
        <v>0.4</v>
      </c>
      <c r="F29" s="147">
        <v>16.02</v>
      </c>
      <c r="G29" s="146">
        <f>E29*F29</f>
        <v>6.408</v>
      </c>
    </row>
    <row r="30" spans="1:7" ht="13.5">
      <c r="A30" s="560"/>
      <c r="B30" s="561"/>
      <c r="C30" s="561"/>
      <c r="D30" s="561"/>
      <c r="E30" s="562"/>
      <c r="F30" s="148" t="s">
        <v>169</v>
      </c>
      <c r="G30" s="150">
        <f>SUM(G25:G29)</f>
        <v>185.063</v>
      </c>
    </row>
    <row r="31" spans="1:7" ht="18.75" customHeight="1">
      <c r="A31" s="568" t="s">
        <v>182</v>
      </c>
      <c r="B31" s="569"/>
      <c r="C31" s="569"/>
      <c r="D31" s="569"/>
      <c r="E31" s="569"/>
      <c r="F31" s="569"/>
      <c r="G31" s="570"/>
    </row>
    <row r="32" spans="1:7" ht="13.5">
      <c r="A32" s="566" t="s">
        <v>161</v>
      </c>
      <c r="B32" s="567"/>
      <c r="C32" s="142" t="s">
        <v>162</v>
      </c>
      <c r="D32" s="142" t="s">
        <v>163</v>
      </c>
      <c r="E32" s="142" t="s">
        <v>164</v>
      </c>
      <c r="F32" s="143" t="s">
        <v>165</v>
      </c>
      <c r="G32" s="142" t="s">
        <v>127</v>
      </c>
    </row>
    <row r="33" spans="1:7" ht="13.5">
      <c r="A33" s="138" t="s">
        <v>183</v>
      </c>
      <c r="B33" s="138" t="s">
        <v>181</v>
      </c>
      <c r="C33" s="139" t="s">
        <v>121</v>
      </c>
      <c r="D33" s="139" t="s">
        <v>180</v>
      </c>
      <c r="E33" s="144" t="s">
        <v>184</v>
      </c>
      <c r="F33" s="147">
        <v>17.09</v>
      </c>
      <c r="G33" s="139">
        <v>0.05</v>
      </c>
    </row>
    <row r="34" spans="1:7" ht="13.5">
      <c r="A34" s="138" t="s">
        <v>186</v>
      </c>
      <c r="B34" s="138" t="s">
        <v>187</v>
      </c>
      <c r="C34" s="139" t="str">
        <f>C33</f>
        <v>SINAPI</v>
      </c>
      <c r="D34" s="139" t="s">
        <v>180</v>
      </c>
      <c r="E34" s="144" t="s">
        <v>184</v>
      </c>
      <c r="F34" s="147">
        <v>20.62</v>
      </c>
      <c r="G34" s="139">
        <v>0.06</v>
      </c>
    </row>
    <row r="35" spans="1:7" ht="40.5">
      <c r="A35" s="138" t="s">
        <v>188</v>
      </c>
      <c r="B35" s="138" t="s">
        <v>189</v>
      </c>
      <c r="C35" s="139" t="str">
        <f>C34</f>
        <v>SINAPI</v>
      </c>
      <c r="D35" s="139" t="s">
        <v>190</v>
      </c>
      <c r="E35" s="144" t="s">
        <v>191</v>
      </c>
      <c r="F35" s="147">
        <v>51.62</v>
      </c>
      <c r="G35" s="139">
        <v>0.12</v>
      </c>
    </row>
    <row r="36" spans="1:7" ht="40.5">
      <c r="A36" s="138" t="s">
        <v>192</v>
      </c>
      <c r="B36" s="138" t="s">
        <v>193</v>
      </c>
      <c r="C36" s="139" t="str">
        <f>C35</f>
        <v>SINAPI</v>
      </c>
      <c r="D36" s="139" t="s">
        <v>194</v>
      </c>
      <c r="E36" s="144" t="s">
        <v>195</v>
      </c>
      <c r="F36" s="147">
        <v>153.65</v>
      </c>
      <c r="G36" s="139">
        <v>0.09</v>
      </c>
    </row>
    <row r="37" spans="1:7" ht="13.5">
      <c r="A37" s="560"/>
      <c r="B37" s="561"/>
      <c r="C37" s="561"/>
      <c r="D37" s="561"/>
      <c r="E37" s="562"/>
      <c r="F37" s="148" t="s">
        <v>169</v>
      </c>
      <c r="G37" s="151">
        <f>SUM(G33:G36)</f>
        <v>0.31999999999999995</v>
      </c>
    </row>
    <row r="38" spans="1:7" ht="33" customHeight="1">
      <c r="A38" s="563" t="s">
        <v>196</v>
      </c>
      <c r="B38" s="564"/>
      <c r="C38" s="564"/>
      <c r="D38" s="564"/>
      <c r="E38" s="564"/>
      <c r="F38" s="564"/>
      <c r="G38" s="565"/>
    </row>
    <row r="39" spans="1:7" ht="13.5">
      <c r="A39" s="566" t="s">
        <v>161</v>
      </c>
      <c r="B39" s="567"/>
      <c r="C39" s="142" t="s">
        <v>162</v>
      </c>
      <c r="D39" s="142" t="s">
        <v>163</v>
      </c>
      <c r="E39" s="142" t="s">
        <v>164</v>
      </c>
      <c r="F39" s="143" t="s">
        <v>165</v>
      </c>
      <c r="G39" s="142" t="s">
        <v>127</v>
      </c>
    </row>
    <row r="40" spans="1:7" ht="40.5">
      <c r="A40" s="138" t="s">
        <v>197</v>
      </c>
      <c r="B40" s="138" t="s">
        <v>198</v>
      </c>
      <c r="C40" s="139" t="s">
        <v>121</v>
      </c>
      <c r="D40" s="139" t="s">
        <v>194</v>
      </c>
      <c r="E40" s="144" t="s">
        <v>199</v>
      </c>
      <c r="F40" s="147">
        <v>214.99</v>
      </c>
      <c r="G40" s="139">
        <v>1.97</v>
      </c>
    </row>
    <row r="41" spans="1:7" ht="40.5">
      <c r="A41" s="138" t="s">
        <v>200</v>
      </c>
      <c r="B41" s="138" t="s">
        <v>201</v>
      </c>
      <c r="C41" s="139" t="s">
        <v>121</v>
      </c>
      <c r="D41" s="139" t="s">
        <v>190</v>
      </c>
      <c r="E41" s="144" t="s">
        <v>202</v>
      </c>
      <c r="F41" s="147">
        <v>60.99</v>
      </c>
      <c r="G41" s="139">
        <v>0.95</v>
      </c>
    </row>
    <row r="42" spans="1:7" ht="13.5">
      <c r="A42" s="138" t="s">
        <v>183</v>
      </c>
      <c r="B42" s="138" t="s">
        <v>181</v>
      </c>
      <c r="C42" s="139" t="s">
        <v>121</v>
      </c>
      <c r="D42" s="139" t="s">
        <v>180</v>
      </c>
      <c r="E42" s="144" t="s">
        <v>203</v>
      </c>
      <c r="F42" s="147">
        <v>17.09</v>
      </c>
      <c r="G42" s="139">
        <v>0.42</v>
      </c>
    </row>
    <row r="43" spans="1:7" ht="13.5">
      <c r="A43" s="560"/>
      <c r="B43" s="561"/>
      <c r="C43" s="561"/>
      <c r="D43" s="561"/>
      <c r="E43" s="562"/>
      <c r="F43" s="141" t="s">
        <v>169</v>
      </c>
      <c r="G43" s="152">
        <f>SUM(G40:G42)</f>
        <v>3.34</v>
      </c>
    </row>
    <row r="44" spans="1:7" ht="13.5">
      <c r="A44" s="563" t="s">
        <v>204</v>
      </c>
      <c r="B44" s="564"/>
      <c r="C44" s="564"/>
      <c r="D44" s="564"/>
      <c r="E44" s="564"/>
      <c r="F44" s="564"/>
      <c r="G44" s="565"/>
    </row>
    <row r="45" spans="1:7" ht="13.5">
      <c r="A45" s="566" t="s">
        <v>161</v>
      </c>
      <c r="B45" s="567"/>
      <c r="C45" s="142" t="s">
        <v>162</v>
      </c>
      <c r="D45" s="142" t="s">
        <v>163</v>
      </c>
      <c r="E45" s="142" t="s">
        <v>164</v>
      </c>
      <c r="F45" s="143" t="s">
        <v>165</v>
      </c>
      <c r="G45" s="142" t="s">
        <v>127</v>
      </c>
    </row>
    <row r="46" spans="1:7" ht="54">
      <c r="A46" s="138" t="s">
        <v>205</v>
      </c>
      <c r="B46" s="138" t="s">
        <v>206</v>
      </c>
      <c r="C46" s="139" t="str">
        <f>C40</f>
        <v>SINAPI</v>
      </c>
      <c r="D46" s="139" t="s">
        <v>194</v>
      </c>
      <c r="E46" s="144" t="s">
        <v>207</v>
      </c>
      <c r="F46" s="147">
        <v>214.17</v>
      </c>
      <c r="G46" s="139">
        <v>0.02</v>
      </c>
    </row>
    <row r="47" spans="1:7" ht="54">
      <c r="A47" s="138" t="s">
        <v>208</v>
      </c>
      <c r="B47" s="138" t="s">
        <v>209</v>
      </c>
      <c r="C47" s="139" t="str">
        <f>C46</f>
        <v>SINAPI</v>
      </c>
      <c r="D47" s="139" t="s">
        <v>190</v>
      </c>
      <c r="E47" s="144" t="s">
        <v>210</v>
      </c>
      <c r="F47" s="147">
        <v>73.5</v>
      </c>
      <c r="G47" s="139">
        <v>0.07</v>
      </c>
    </row>
    <row r="48" spans="1:7" ht="13.5">
      <c r="A48" s="138" t="s">
        <v>183</v>
      </c>
      <c r="B48" s="138" t="s">
        <v>181</v>
      </c>
      <c r="C48" s="139" t="str">
        <f>C47</f>
        <v>SINAPI</v>
      </c>
      <c r="D48" s="139" t="s">
        <v>180</v>
      </c>
      <c r="E48" s="144" t="s">
        <v>210</v>
      </c>
      <c r="F48" s="147">
        <v>17.09</v>
      </c>
      <c r="G48" s="139">
        <v>0.01</v>
      </c>
    </row>
    <row r="49" spans="1:7" ht="13.5">
      <c r="A49" s="560"/>
      <c r="B49" s="561"/>
      <c r="C49" s="561"/>
      <c r="D49" s="561"/>
      <c r="E49" s="562"/>
      <c r="F49" s="141" t="s">
        <v>169</v>
      </c>
      <c r="G49" s="152">
        <f>SUM(G46:G48)</f>
        <v>0.1</v>
      </c>
    </row>
    <row r="50" spans="1:7" ht="23.25" customHeight="1">
      <c r="A50" s="563" t="s">
        <v>211</v>
      </c>
      <c r="B50" s="564"/>
      <c r="C50" s="564"/>
      <c r="D50" s="564"/>
      <c r="E50" s="564"/>
      <c r="F50" s="564"/>
      <c r="G50" s="565"/>
    </row>
    <row r="51" spans="1:7" ht="13.5">
      <c r="A51" s="566" t="s">
        <v>161</v>
      </c>
      <c r="B51" s="567"/>
      <c r="C51" s="142" t="s">
        <v>162</v>
      </c>
      <c r="D51" s="142" t="s">
        <v>163</v>
      </c>
      <c r="E51" s="142" t="s">
        <v>164</v>
      </c>
      <c r="F51" s="143" t="s">
        <v>165</v>
      </c>
      <c r="G51" s="142" t="s">
        <v>127</v>
      </c>
    </row>
    <row r="52" spans="1:7" ht="81">
      <c r="A52" s="138" t="s">
        <v>212</v>
      </c>
      <c r="B52" s="138" t="s">
        <v>213</v>
      </c>
      <c r="C52" s="139" t="s">
        <v>121</v>
      </c>
      <c r="D52" s="139" t="s">
        <v>194</v>
      </c>
      <c r="E52" s="144" t="s">
        <v>210</v>
      </c>
      <c r="F52" s="147">
        <v>254.44</v>
      </c>
      <c r="G52" s="139">
        <v>0.25</v>
      </c>
    </row>
    <row r="53" spans="1:7" ht="81">
      <c r="A53" s="138" t="s">
        <v>214</v>
      </c>
      <c r="B53" s="138" t="s">
        <v>215</v>
      </c>
      <c r="C53" s="139" t="s">
        <v>121</v>
      </c>
      <c r="D53" s="139" t="s">
        <v>190</v>
      </c>
      <c r="E53" s="144" t="s">
        <v>216</v>
      </c>
      <c r="F53" s="147">
        <v>46.26</v>
      </c>
      <c r="G53" s="139">
        <v>0.32</v>
      </c>
    </row>
    <row r="54" spans="1:7" ht="54">
      <c r="A54" s="138" t="s">
        <v>205</v>
      </c>
      <c r="B54" s="138" t="s">
        <v>206</v>
      </c>
      <c r="C54" s="139" t="s">
        <v>121</v>
      </c>
      <c r="D54" s="139" t="s">
        <v>194</v>
      </c>
      <c r="E54" s="144" t="s">
        <v>207</v>
      </c>
      <c r="F54" s="147">
        <v>214.17</v>
      </c>
      <c r="G54" s="139">
        <v>0.02</v>
      </c>
    </row>
    <row r="55" spans="1:7" ht="54">
      <c r="A55" s="138" t="s">
        <v>208</v>
      </c>
      <c r="B55" s="138" t="s">
        <v>209</v>
      </c>
      <c r="C55" s="139" t="s">
        <v>121</v>
      </c>
      <c r="D55" s="139" t="s">
        <v>190</v>
      </c>
      <c r="E55" s="144" t="s">
        <v>217</v>
      </c>
      <c r="F55" s="145">
        <v>73.5</v>
      </c>
      <c r="G55" s="139">
        <v>0.58</v>
      </c>
    </row>
    <row r="56" spans="1:7" ht="67.5">
      <c r="A56" s="138" t="s">
        <v>218</v>
      </c>
      <c r="B56" s="138" t="s">
        <v>219</v>
      </c>
      <c r="C56" s="139" t="s">
        <v>121</v>
      </c>
      <c r="D56" s="139" t="s">
        <v>194</v>
      </c>
      <c r="E56" s="144" t="s">
        <v>220</v>
      </c>
      <c r="F56" s="147">
        <v>167.03</v>
      </c>
      <c r="G56" s="139">
        <v>0.33</v>
      </c>
    </row>
    <row r="57" spans="1:7" ht="13.5">
      <c r="A57" s="138" t="s">
        <v>183</v>
      </c>
      <c r="B57" s="138" t="s">
        <v>181</v>
      </c>
      <c r="C57" s="139" t="s">
        <v>121</v>
      </c>
      <c r="D57" s="139" t="s">
        <v>180</v>
      </c>
      <c r="E57" s="144" t="s">
        <v>217</v>
      </c>
      <c r="F57" s="147">
        <v>17.09</v>
      </c>
      <c r="G57" s="139">
        <v>0.13</v>
      </c>
    </row>
    <row r="58" spans="1:7" ht="67.5">
      <c r="A58" s="138" t="s">
        <v>221</v>
      </c>
      <c r="B58" s="138" t="s">
        <v>222</v>
      </c>
      <c r="C58" s="139" t="s">
        <v>121</v>
      </c>
      <c r="D58" s="139" t="s">
        <v>190</v>
      </c>
      <c r="E58" s="144" t="s">
        <v>168</v>
      </c>
      <c r="F58" s="147">
        <v>47.59</v>
      </c>
      <c r="G58" s="139">
        <v>0.28</v>
      </c>
    </row>
    <row r="59" spans="1:7" ht="13.5">
      <c r="A59" s="560"/>
      <c r="B59" s="561"/>
      <c r="C59" s="561"/>
      <c r="D59" s="561"/>
      <c r="E59" s="562"/>
      <c r="F59" s="141" t="s">
        <v>169</v>
      </c>
      <c r="G59" s="152">
        <f>SUM(G52:G58)</f>
        <v>1.91</v>
      </c>
    </row>
    <row r="60" spans="1:7" ht="30.75" customHeight="1">
      <c r="A60" s="563" t="s">
        <v>247</v>
      </c>
      <c r="B60" s="564"/>
      <c r="C60" s="564"/>
      <c r="D60" s="564"/>
      <c r="E60" s="564"/>
      <c r="F60" s="564"/>
      <c r="G60" s="565"/>
    </row>
    <row r="61" spans="1:7" ht="13.5">
      <c r="A61" s="566" t="s">
        <v>161</v>
      </c>
      <c r="B61" s="567"/>
      <c r="C61" s="142" t="s">
        <v>162</v>
      </c>
      <c r="D61" s="142" t="s">
        <v>163</v>
      </c>
      <c r="E61" s="142" t="s">
        <v>164</v>
      </c>
      <c r="F61" s="143" t="s">
        <v>165</v>
      </c>
      <c r="G61" s="142" t="s">
        <v>127</v>
      </c>
    </row>
    <row r="62" spans="1:7" ht="54">
      <c r="A62" s="138" t="s">
        <v>223</v>
      </c>
      <c r="B62" s="138" t="s">
        <v>224</v>
      </c>
      <c r="C62" s="139" t="s">
        <v>121</v>
      </c>
      <c r="D62" s="139" t="s">
        <v>194</v>
      </c>
      <c r="E62" s="144">
        <v>0.167</v>
      </c>
      <c r="F62" s="147">
        <v>191.6</v>
      </c>
      <c r="G62" s="146">
        <v>31.99</v>
      </c>
    </row>
    <row r="63" spans="1:7" ht="54">
      <c r="A63" s="138" t="s">
        <v>225</v>
      </c>
      <c r="B63" s="138" t="s">
        <v>226</v>
      </c>
      <c r="C63" s="139" t="s">
        <v>121</v>
      </c>
      <c r="D63" s="139" t="s">
        <v>190</v>
      </c>
      <c r="E63" s="144">
        <v>0.352</v>
      </c>
      <c r="F63" s="147">
        <v>75.78</v>
      </c>
      <c r="G63" s="146">
        <v>26.67</v>
      </c>
    </row>
    <row r="64" spans="1:7" ht="40.5">
      <c r="A64" s="138" t="s">
        <v>227</v>
      </c>
      <c r="B64" s="138" t="s">
        <v>228</v>
      </c>
      <c r="C64" s="139" t="s">
        <v>121</v>
      </c>
      <c r="D64" s="139" t="s">
        <v>132</v>
      </c>
      <c r="E64" s="144" t="s">
        <v>229</v>
      </c>
      <c r="F64" s="147">
        <v>329.47</v>
      </c>
      <c r="G64" s="146">
        <v>339.35</v>
      </c>
    </row>
    <row r="65" spans="1:7" ht="27">
      <c r="A65" s="138" t="s">
        <v>230</v>
      </c>
      <c r="B65" s="138" t="s">
        <v>231</v>
      </c>
      <c r="C65" s="139" t="s">
        <v>121</v>
      </c>
      <c r="D65" s="139" t="s">
        <v>180</v>
      </c>
      <c r="E65" s="144">
        <v>0.787</v>
      </c>
      <c r="F65" s="147">
        <v>21.13</v>
      </c>
      <c r="G65" s="146">
        <v>16.62</v>
      </c>
    </row>
    <row r="66" spans="1:7" ht="13.5">
      <c r="A66" s="138" t="s">
        <v>183</v>
      </c>
      <c r="B66" s="138" t="s">
        <v>181</v>
      </c>
      <c r="C66" s="139" t="s">
        <v>121</v>
      </c>
      <c r="D66" s="139" t="s">
        <v>180</v>
      </c>
      <c r="E66" s="144">
        <v>1.574</v>
      </c>
      <c r="F66" s="147">
        <v>17.09</v>
      </c>
      <c r="G66" s="146">
        <v>26.89</v>
      </c>
    </row>
    <row r="67" spans="1:7" ht="40.5">
      <c r="A67" s="138" t="s">
        <v>232</v>
      </c>
      <c r="B67" s="138" t="s">
        <v>233</v>
      </c>
      <c r="C67" s="139" t="s">
        <v>121</v>
      </c>
      <c r="D67" s="139" t="s">
        <v>167</v>
      </c>
      <c r="E67" s="144">
        <v>0.028</v>
      </c>
      <c r="F67" s="147">
        <v>631.35</v>
      </c>
      <c r="G67" s="146">
        <v>17.67</v>
      </c>
    </row>
    <row r="68" spans="1:7" ht="13.5">
      <c r="A68" s="560"/>
      <c r="B68" s="561"/>
      <c r="C68" s="561"/>
      <c r="D68" s="561"/>
      <c r="E68" s="562"/>
      <c r="F68" s="141" t="s">
        <v>169</v>
      </c>
      <c r="G68" s="152">
        <f>SUM(G62:G67)</f>
        <v>459.19</v>
      </c>
    </row>
    <row r="69" spans="1:7" ht="28.5" customHeight="1">
      <c r="A69" s="563" t="s">
        <v>293</v>
      </c>
      <c r="B69" s="564"/>
      <c r="C69" s="564"/>
      <c r="D69" s="564"/>
      <c r="E69" s="564"/>
      <c r="F69" s="564"/>
      <c r="G69" s="565"/>
    </row>
    <row r="70" spans="1:7" ht="13.5">
      <c r="A70" s="566" t="s">
        <v>161</v>
      </c>
      <c r="B70" s="567"/>
      <c r="C70" s="142" t="s">
        <v>162</v>
      </c>
      <c r="D70" s="142" t="s">
        <v>163</v>
      </c>
      <c r="E70" s="142" t="s">
        <v>164</v>
      </c>
      <c r="F70" s="143" t="s">
        <v>165</v>
      </c>
      <c r="G70" s="142" t="s">
        <v>127</v>
      </c>
    </row>
    <row r="71" spans="1:7" ht="40.5">
      <c r="A71" s="140" t="s">
        <v>256</v>
      </c>
      <c r="B71" s="149" t="s">
        <v>248</v>
      </c>
      <c r="C71" s="139" t="s">
        <v>121</v>
      </c>
      <c r="D71" s="140" t="s">
        <v>167</v>
      </c>
      <c r="E71" s="140" t="s">
        <v>264</v>
      </c>
      <c r="F71" s="147">
        <v>546.63</v>
      </c>
      <c r="G71" s="153">
        <v>212.91</v>
      </c>
    </row>
    <row r="72" spans="1:7" ht="54">
      <c r="A72" s="140" t="s">
        <v>257</v>
      </c>
      <c r="B72" s="149" t="s">
        <v>249</v>
      </c>
      <c r="C72" s="139" t="str">
        <f aca="true" t="shared" si="0" ref="C72:C77">C71</f>
        <v>SINAPI</v>
      </c>
      <c r="D72" s="140" t="s">
        <v>166</v>
      </c>
      <c r="E72" s="140" t="s">
        <v>265</v>
      </c>
      <c r="F72" s="147">
        <v>83.88</v>
      </c>
      <c r="G72" s="154">
        <v>1072.93</v>
      </c>
    </row>
    <row r="73" spans="1:7" ht="40.5">
      <c r="A73" s="140" t="s">
        <v>258</v>
      </c>
      <c r="B73" s="149" t="s">
        <v>250</v>
      </c>
      <c r="C73" s="139" t="str">
        <f t="shared" si="0"/>
        <v>SINAPI</v>
      </c>
      <c r="D73" s="140" t="s">
        <v>178</v>
      </c>
      <c r="E73" s="140" t="s">
        <v>266</v>
      </c>
      <c r="F73" s="147">
        <v>15.93</v>
      </c>
      <c r="G73" s="153">
        <v>1606.73</v>
      </c>
    </row>
    <row r="74" spans="1:7" ht="40.5">
      <c r="A74" s="140" t="s">
        <v>259</v>
      </c>
      <c r="B74" s="149" t="s">
        <v>251</v>
      </c>
      <c r="C74" s="139" t="str">
        <f t="shared" si="0"/>
        <v>SINAPI</v>
      </c>
      <c r="D74" s="140" t="s">
        <v>178</v>
      </c>
      <c r="E74" s="140" t="s">
        <v>267</v>
      </c>
      <c r="F74" s="145">
        <v>15.2</v>
      </c>
      <c r="G74" s="154">
        <v>87.97</v>
      </c>
    </row>
    <row r="75" spans="1:7" ht="40.5">
      <c r="A75" s="140" t="s">
        <v>260</v>
      </c>
      <c r="B75" s="149" t="s">
        <v>252</v>
      </c>
      <c r="C75" s="139" t="str">
        <f t="shared" si="0"/>
        <v>SINAPI</v>
      </c>
      <c r="D75" s="140" t="s">
        <v>178</v>
      </c>
      <c r="E75" s="140" t="s">
        <v>268</v>
      </c>
      <c r="F75" s="147">
        <v>13.7</v>
      </c>
      <c r="G75" s="154">
        <v>227.06</v>
      </c>
    </row>
    <row r="76" spans="1:7" ht="40.5">
      <c r="A76" s="140" t="s">
        <v>261</v>
      </c>
      <c r="B76" s="149" t="s">
        <v>253</v>
      </c>
      <c r="C76" s="139" t="str">
        <f t="shared" si="0"/>
        <v>SINAPI</v>
      </c>
      <c r="D76" s="140" t="s">
        <v>178</v>
      </c>
      <c r="E76" s="140" t="s">
        <v>269</v>
      </c>
      <c r="F76" s="147">
        <v>11.59</v>
      </c>
      <c r="G76" s="154">
        <v>473.3</v>
      </c>
    </row>
    <row r="77" spans="1:7" ht="27">
      <c r="A77" s="140" t="s">
        <v>262</v>
      </c>
      <c r="B77" s="149" t="s">
        <v>254</v>
      </c>
      <c r="C77" s="139" t="str">
        <f t="shared" si="0"/>
        <v>SINAPI</v>
      </c>
      <c r="D77" s="140" t="s">
        <v>178</v>
      </c>
      <c r="E77" s="140" t="s">
        <v>270</v>
      </c>
      <c r="F77" s="147">
        <v>15.02</v>
      </c>
      <c r="G77" s="154">
        <v>268.58</v>
      </c>
    </row>
    <row r="78" spans="1:7" ht="40.5">
      <c r="A78" s="140" t="s">
        <v>263</v>
      </c>
      <c r="B78" s="149" t="s">
        <v>255</v>
      </c>
      <c r="C78" s="139" t="str">
        <f>C73</f>
        <v>SINAPI</v>
      </c>
      <c r="D78" s="140" t="s">
        <v>167</v>
      </c>
      <c r="E78" s="140" t="s">
        <v>271</v>
      </c>
      <c r="F78" s="147">
        <v>583.84</v>
      </c>
      <c r="G78" s="154">
        <v>1466.89</v>
      </c>
    </row>
    <row r="79" spans="1:7" ht="13.5">
      <c r="A79" s="560"/>
      <c r="B79" s="561"/>
      <c r="C79" s="561"/>
      <c r="D79" s="561"/>
      <c r="E79" s="562"/>
      <c r="F79" s="141" t="s">
        <v>169</v>
      </c>
      <c r="G79" s="155">
        <f>SUM(G71:G78)</f>
        <v>5416.37</v>
      </c>
    </row>
    <row r="80" spans="1:7" ht="29.25" customHeight="1">
      <c r="A80" s="563" t="s">
        <v>292</v>
      </c>
      <c r="B80" s="564"/>
      <c r="C80" s="564"/>
      <c r="D80" s="564"/>
      <c r="E80" s="564"/>
      <c r="F80" s="564"/>
      <c r="G80" s="565"/>
    </row>
    <row r="81" spans="1:7" ht="18" customHeight="1">
      <c r="A81" s="566" t="s">
        <v>161</v>
      </c>
      <c r="B81" s="567"/>
      <c r="C81" s="142" t="s">
        <v>162</v>
      </c>
      <c r="D81" s="142" t="s">
        <v>163</v>
      </c>
      <c r="E81" s="142" t="s">
        <v>164</v>
      </c>
      <c r="F81" s="143" t="s">
        <v>165</v>
      </c>
      <c r="G81" s="142" t="s">
        <v>127</v>
      </c>
    </row>
    <row r="82" spans="1:7" ht="45" customHeight="1">
      <c r="A82" s="160" t="s">
        <v>256</v>
      </c>
      <c r="B82" s="149" t="s">
        <v>248</v>
      </c>
      <c r="C82" s="158" t="s">
        <v>121</v>
      </c>
      <c r="D82" s="140" t="s">
        <v>167</v>
      </c>
      <c r="E82" s="160" t="s">
        <v>284</v>
      </c>
      <c r="F82" s="161">
        <v>546.63</v>
      </c>
      <c r="G82" s="159">
        <v>347.38</v>
      </c>
    </row>
    <row r="83" spans="1:7" ht="60" customHeight="1">
      <c r="A83" s="160" t="s">
        <v>257</v>
      </c>
      <c r="B83" s="149" t="s">
        <v>249</v>
      </c>
      <c r="C83" s="158" t="s">
        <v>121</v>
      </c>
      <c r="D83" s="140" t="s">
        <v>166</v>
      </c>
      <c r="E83" s="160" t="s">
        <v>285</v>
      </c>
      <c r="F83" s="161">
        <v>83.88</v>
      </c>
      <c r="G83" s="159">
        <v>1238.19</v>
      </c>
    </row>
    <row r="84" spans="1:7" ht="30" customHeight="1">
      <c r="A84" s="160" t="s">
        <v>258</v>
      </c>
      <c r="B84" s="149" t="s">
        <v>250</v>
      </c>
      <c r="C84" s="158" t="s">
        <v>121</v>
      </c>
      <c r="D84" s="140" t="s">
        <v>178</v>
      </c>
      <c r="E84" s="160" t="s">
        <v>286</v>
      </c>
      <c r="F84" s="161">
        <v>15.93</v>
      </c>
      <c r="G84" s="159">
        <v>1741.96</v>
      </c>
    </row>
    <row r="85" spans="1:7" ht="30" customHeight="1">
      <c r="A85" s="160" t="s">
        <v>259</v>
      </c>
      <c r="B85" s="149" t="s">
        <v>251</v>
      </c>
      <c r="C85" s="158" t="s">
        <v>121</v>
      </c>
      <c r="D85" s="140" t="s">
        <v>178</v>
      </c>
      <c r="E85" s="160" t="s">
        <v>287</v>
      </c>
      <c r="F85" s="161">
        <v>15.2</v>
      </c>
      <c r="G85" s="159">
        <v>168.36</v>
      </c>
    </row>
    <row r="86" spans="1:7" ht="30" customHeight="1">
      <c r="A86" s="160" t="s">
        <v>260</v>
      </c>
      <c r="B86" s="149" t="s">
        <v>252</v>
      </c>
      <c r="C86" s="158" t="s">
        <v>121</v>
      </c>
      <c r="D86" s="140" t="s">
        <v>178</v>
      </c>
      <c r="E86" s="160" t="s">
        <v>288</v>
      </c>
      <c r="F86" s="161">
        <v>13.7</v>
      </c>
      <c r="G86" s="159">
        <v>202.11</v>
      </c>
    </row>
    <row r="87" spans="1:7" ht="30" customHeight="1">
      <c r="A87" s="160" t="s">
        <v>261</v>
      </c>
      <c r="B87" s="149" t="s">
        <v>253</v>
      </c>
      <c r="C87" s="158" t="s">
        <v>121</v>
      </c>
      <c r="D87" s="140" t="s">
        <v>178</v>
      </c>
      <c r="E87" s="160" t="s">
        <v>289</v>
      </c>
      <c r="F87" s="161">
        <v>11.59</v>
      </c>
      <c r="G87" s="159">
        <v>639.57</v>
      </c>
    </row>
    <row r="88" spans="1:7" ht="30" customHeight="1">
      <c r="A88" s="160" t="s">
        <v>262</v>
      </c>
      <c r="B88" s="149" t="s">
        <v>254</v>
      </c>
      <c r="C88" s="158" t="s">
        <v>121</v>
      </c>
      <c r="D88" s="140" t="s">
        <v>178</v>
      </c>
      <c r="E88" s="160" t="s">
        <v>290</v>
      </c>
      <c r="F88" s="161">
        <v>15.02</v>
      </c>
      <c r="G88" s="159">
        <v>443.21</v>
      </c>
    </row>
    <row r="89" spans="1:7" ht="42" customHeight="1">
      <c r="A89" s="160" t="s">
        <v>263</v>
      </c>
      <c r="B89" s="149" t="s">
        <v>255</v>
      </c>
      <c r="C89" s="158" t="s">
        <v>121</v>
      </c>
      <c r="D89" s="140" t="s">
        <v>167</v>
      </c>
      <c r="E89" s="160" t="s">
        <v>291</v>
      </c>
      <c r="F89" s="161">
        <v>583.04</v>
      </c>
      <c r="G89" s="159">
        <v>1772.71</v>
      </c>
    </row>
    <row r="90" spans="1:7" ht="18.75" customHeight="1">
      <c r="A90" s="162"/>
      <c r="B90" s="163"/>
      <c r="C90" s="164"/>
      <c r="D90" s="165"/>
      <c r="E90" s="166"/>
      <c r="F90" s="167" t="s">
        <v>169</v>
      </c>
      <c r="G90" s="159">
        <f>SUM(G82:G89)</f>
        <v>6553.490000000001</v>
      </c>
    </row>
    <row r="91" spans="1:7" ht="30" customHeight="1">
      <c r="A91" s="563" t="s">
        <v>234</v>
      </c>
      <c r="B91" s="564"/>
      <c r="C91" s="564"/>
      <c r="D91" s="564"/>
      <c r="E91" s="564"/>
      <c r="F91" s="564"/>
      <c r="G91" s="565"/>
    </row>
    <row r="92" spans="1:7" ht="13.5">
      <c r="A92" s="566" t="s">
        <v>161</v>
      </c>
      <c r="B92" s="567"/>
      <c r="C92" s="142" t="s">
        <v>162</v>
      </c>
      <c r="D92" s="142" t="s">
        <v>163</v>
      </c>
      <c r="E92" s="142" t="s">
        <v>164</v>
      </c>
      <c r="F92" s="143" t="s">
        <v>165</v>
      </c>
      <c r="G92" s="142" t="s">
        <v>127</v>
      </c>
    </row>
    <row r="93" spans="1:7" ht="13.5">
      <c r="A93" s="138">
        <v>88316</v>
      </c>
      <c r="B93" s="138" t="s">
        <v>181</v>
      </c>
      <c r="C93" s="139" t="str">
        <f>C73</f>
        <v>SINAPI</v>
      </c>
      <c r="D93" s="139" t="s">
        <v>180</v>
      </c>
      <c r="E93" s="144" t="s">
        <v>235</v>
      </c>
      <c r="F93" s="147">
        <v>17.09</v>
      </c>
      <c r="G93" s="201">
        <v>0.42</v>
      </c>
    </row>
    <row r="94" spans="1:7" ht="40.5">
      <c r="A94" s="138" t="s">
        <v>236</v>
      </c>
      <c r="B94" s="138" t="s">
        <v>237</v>
      </c>
      <c r="C94" s="139" t="str">
        <f>C93</f>
        <v>SINAPI</v>
      </c>
      <c r="D94" s="139" t="s">
        <v>194</v>
      </c>
      <c r="E94" s="144" t="s">
        <v>238</v>
      </c>
      <c r="F94" s="147">
        <v>171.08</v>
      </c>
      <c r="G94" s="146">
        <v>1.59</v>
      </c>
    </row>
    <row r="95" spans="1:7" ht="40.5">
      <c r="A95" s="138" t="s">
        <v>239</v>
      </c>
      <c r="B95" s="138" t="s">
        <v>240</v>
      </c>
      <c r="C95" s="139" t="str">
        <f>C94</f>
        <v>SINAPI</v>
      </c>
      <c r="D95" s="139" t="s">
        <v>190</v>
      </c>
      <c r="E95" s="144" t="s">
        <v>241</v>
      </c>
      <c r="F95" s="147">
        <v>53.14</v>
      </c>
      <c r="G95" s="139">
        <v>0.83</v>
      </c>
    </row>
    <row r="96" spans="1:7" ht="13.5">
      <c r="A96" s="560"/>
      <c r="B96" s="561"/>
      <c r="C96" s="561"/>
      <c r="D96" s="561"/>
      <c r="E96" s="562"/>
      <c r="F96" s="141" t="s">
        <v>169</v>
      </c>
      <c r="G96" s="152">
        <f>SUM(G93:G95)</f>
        <v>2.8400000000000003</v>
      </c>
    </row>
    <row r="97" spans="1:7" ht="31.5" customHeight="1">
      <c r="A97" s="563" t="s">
        <v>323</v>
      </c>
      <c r="B97" s="564"/>
      <c r="C97" s="564"/>
      <c r="D97" s="564"/>
      <c r="E97" s="564"/>
      <c r="F97" s="564"/>
      <c r="G97" s="565"/>
    </row>
    <row r="98" spans="1:7" ht="13.5">
      <c r="A98" s="566" t="s">
        <v>161</v>
      </c>
      <c r="B98" s="567"/>
      <c r="C98" s="142" t="s">
        <v>162</v>
      </c>
      <c r="D98" s="142" t="s">
        <v>163</v>
      </c>
      <c r="E98" s="142" t="s">
        <v>164</v>
      </c>
      <c r="F98" s="143" t="s">
        <v>165</v>
      </c>
      <c r="G98" s="142" t="s">
        <v>127</v>
      </c>
    </row>
    <row r="99" spans="1:7" ht="67.5">
      <c r="A99" s="160" t="s">
        <v>324</v>
      </c>
      <c r="B99" s="138" t="s">
        <v>325</v>
      </c>
      <c r="C99" s="139" t="s">
        <v>121</v>
      </c>
      <c r="D99" s="139" t="s">
        <v>194</v>
      </c>
      <c r="E99" s="147">
        <v>0.0043</v>
      </c>
      <c r="F99" s="147">
        <v>263.92</v>
      </c>
      <c r="G99" s="147">
        <v>1.13</v>
      </c>
    </row>
    <row r="100" spans="1:7" ht="67.5">
      <c r="A100" s="160" t="s">
        <v>326</v>
      </c>
      <c r="B100" s="138" t="s">
        <v>327</v>
      </c>
      <c r="C100" s="139" t="str">
        <f>C99</f>
        <v>SINAPI</v>
      </c>
      <c r="D100" s="139" t="s">
        <v>190</v>
      </c>
      <c r="E100" s="147">
        <v>0.0019</v>
      </c>
      <c r="F100" s="147">
        <v>54.84</v>
      </c>
      <c r="G100" s="147">
        <v>0.2</v>
      </c>
    </row>
    <row r="101" spans="1:7" ht="13.5">
      <c r="A101" s="560"/>
      <c r="B101" s="561"/>
      <c r="C101" s="561"/>
      <c r="D101" s="561"/>
      <c r="E101" s="562"/>
      <c r="F101" s="141" t="s">
        <v>169</v>
      </c>
      <c r="G101" s="152">
        <f>G99+G100</f>
        <v>1.3299999999999998</v>
      </c>
    </row>
    <row r="102" spans="1:7" ht="13.5">
      <c r="A102" s="563" t="s">
        <v>314</v>
      </c>
      <c r="B102" s="564"/>
      <c r="C102" s="564"/>
      <c r="D102" s="564"/>
      <c r="E102" s="564"/>
      <c r="F102" s="564"/>
      <c r="G102" s="565"/>
    </row>
    <row r="103" spans="1:7" ht="13.5">
      <c r="A103" s="566" t="s">
        <v>161</v>
      </c>
      <c r="B103" s="567"/>
      <c r="C103" s="142" t="s">
        <v>162</v>
      </c>
      <c r="D103" s="142" t="s">
        <v>163</v>
      </c>
      <c r="E103" s="142" t="s">
        <v>164</v>
      </c>
      <c r="F103" s="143" t="s">
        <v>165</v>
      </c>
      <c r="G103" s="142" t="s">
        <v>127</v>
      </c>
    </row>
    <row r="104" spans="1:7" ht="54">
      <c r="A104" s="138">
        <v>5932</v>
      </c>
      <c r="B104" s="138" t="s">
        <v>206</v>
      </c>
      <c r="C104" s="139" t="s">
        <v>121</v>
      </c>
      <c r="D104" s="139" t="s">
        <v>194</v>
      </c>
      <c r="E104" s="144">
        <v>0.0001</v>
      </c>
      <c r="F104" s="147">
        <v>214.17</v>
      </c>
      <c r="G104" s="139">
        <v>0.02</v>
      </c>
    </row>
    <row r="105" spans="1:7" ht="54">
      <c r="A105" s="138">
        <v>5934</v>
      </c>
      <c r="B105" s="138" t="s">
        <v>209</v>
      </c>
      <c r="C105" s="139" t="str">
        <f>C104</f>
        <v>SINAPI</v>
      </c>
      <c r="D105" s="139" t="s">
        <v>190</v>
      </c>
      <c r="E105" s="144">
        <v>0.001</v>
      </c>
      <c r="F105" s="147">
        <v>73.5</v>
      </c>
      <c r="G105" s="139">
        <v>0.07</v>
      </c>
    </row>
    <row r="106" spans="1:7" ht="13.5">
      <c r="A106" s="138">
        <v>88316</v>
      </c>
      <c r="B106" s="138" t="s">
        <v>181</v>
      </c>
      <c r="C106" s="139" t="s">
        <v>121</v>
      </c>
      <c r="D106" s="139" t="s">
        <v>180</v>
      </c>
      <c r="E106" s="144">
        <v>0.0001</v>
      </c>
      <c r="F106" s="147">
        <v>17.09</v>
      </c>
      <c r="G106" s="139">
        <v>0.01</v>
      </c>
    </row>
    <row r="107" spans="1:7" ht="13.5">
      <c r="A107" s="560"/>
      <c r="B107" s="561"/>
      <c r="C107" s="561"/>
      <c r="D107" s="561"/>
      <c r="E107" s="562"/>
      <c r="F107" s="141" t="s">
        <v>169</v>
      </c>
      <c r="G107" s="152">
        <f>SUM(G104:G106)</f>
        <v>0.1</v>
      </c>
    </row>
    <row r="108" spans="1:7" ht="13.5">
      <c r="A108" s="563" t="s">
        <v>242</v>
      </c>
      <c r="B108" s="564"/>
      <c r="C108" s="564"/>
      <c r="D108" s="564"/>
      <c r="E108" s="564"/>
      <c r="F108" s="564"/>
      <c r="G108" s="565"/>
    </row>
    <row r="109" spans="1:7" ht="13.5">
      <c r="A109" s="566" t="s">
        <v>161</v>
      </c>
      <c r="B109" s="567"/>
      <c r="C109" s="142" t="s">
        <v>162</v>
      </c>
      <c r="D109" s="142" t="s">
        <v>163</v>
      </c>
      <c r="E109" s="142" t="s">
        <v>164</v>
      </c>
      <c r="F109" s="143" t="s">
        <v>165</v>
      </c>
      <c r="G109" s="142" t="s">
        <v>127</v>
      </c>
    </row>
    <row r="110" spans="1:7" ht="81">
      <c r="A110" s="138" t="s">
        <v>212</v>
      </c>
      <c r="B110" s="138" t="s">
        <v>213</v>
      </c>
      <c r="C110" s="139" t="s">
        <v>121</v>
      </c>
      <c r="D110" s="139" t="s">
        <v>194</v>
      </c>
      <c r="E110" s="144" t="s">
        <v>210</v>
      </c>
      <c r="F110" s="140" t="s">
        <v>272</v>
      </c>
      <c r="G110" s="139">
        <v>0.25</v>
      </c>
    </row>
    <row r="111" spans="1:7" ht="81">
      <c r="A111" s="138" t="s">
        <v>214</v>
      </c>
      <c r="B111" s="138" t="s">
        <v>215</v>
      </c>
      <c r="C111" s="139" t="s">
        <v>121</v>
      </c>
      <c r="D111" s="139" t="s">
        <v>190</v>
      </c>
      <c r="E111" s="144" t="s">
        <v>220</v>
      </c>
      <c r="F111" s="140" t="s">
        <v>273</v>
      </c>
      <c r="G111" s="139">
        <v>0.09</v>
      </c>
    </row>
    <row r="112" spans="1:7" ht="54">
      <c r="A112" s="138" t="s">
        <v>205</v>
      </c>
      <c r="B112" s="138" t="s">
        <v>206</v>
      </c>
      <c r="C112" s="139" t="s">
        <v>121</v>
      </c>
      <c r="D112" s="139" t="s">
        <v>194</v>
      </c>
      <c r="E112" s="144" t="s">
        <v>207</v>
      </c>
      <c r="F112" s="140" t="s">
        <v>274</v>
      </c>
      <c r="G112" s="139">
        <v>0.02</v>
      </c>
    </row>
    <row r="113" spans="1:7" ht="54">
      <c r="A113" s="138" t="s">
        <v>208</v>
      </c>
      <c r="B113" s="138" t="s">
        <v>209</v>
      </c>
      <c r="C113" s="139" t="s">
        <v>121</v>
      </c>
      <c r="D113" s="139" t="s">
        <v>190</v>
      </c>
      <c r="E113" s="144" t="s">
        <v>184</v>
      </c>
      <c r="F113" s="140" t="s">
        <v>275</v>
      </c>
      <c r="G113" s="146">
        <v>0.22</v>
      </c>
    </row>
    <row r="114" spans="1:7" ht="13.5">
      <c r="A114" s="138" t="s">
        <v>183</v>
      </c>
      <c r="B114" s="138" t="s">
        <v>181</v>
      </c>
      <c r="C114" s="139" t="s">
        <v>121</v>
      </c>
      <c r="D114" s="139" t="s">
        <v>180</v>
      </c>
      <c r="E114" s="144" t="s">
        <v>184</v>
      </c>
      <c r="F114" s="140" t="s">
        <v>185</v>
      </c>
      <c r="G114" s="139">
        <v>0.05</v>
      </c>
    </row>
    <row r="115" spans="1:7" ht="54">
      <c r="A115" s="138" t="s">
        <v>243</v>
      </c>
      <c r="B115" s="138" t="s">
        <v>244</v>
      </c>
      <c r="C115" s="139" t="s">
        <v>121</v>
      </c>
      <c r="D115" s="139" t="s">
        <v>194</v>
      </c>
      <c r="E115" s="144" t="s">
        <v>210</v>
      </c>
      <c r="F115" s="140" t="s">
        <v>276</v>
      </c>
      <c r="G115" s="139">
        <v>0.17</v>
      </c>
    </row>
    <row r="116" spans="1:7" ht="54">
      <c r="A116" s="138" t="s">
        <v>245</v>
      </c>
      <c r="B116" s="138" t="s">
        <v>246</v>
      </c>
      <c r="C116" s="139" t="s">
        <v>121</v>
      </c>
      <c r="D116" s="139" t="s">
        <v>190</v>
      </c>
      <c r="E116" s="144" t="s">
        <v>220</v>
      </c>
      <c r="F116" s="140" t="s">
        <v>277</v>
      </c>
      <c r="G116" s="139">
        <v>0.12</v>
      </c>
    </row>
    <row r="117" spans="1:7" ht="13.5">
      <c r="A117" s="560"/>
      <c r="B117" s="561"/>
      <c r="C117" s="561"/>
      <c r="D117" s="561"/>
      <c r="E117" s="562"/>
      <c r="F117" s="141" t="s">
        <v>169</v>
      </c>
      <c r="G117" s="152">
        <f>SUM(G110:G116)</f>
        <v>0.92</v>
      </c>
    </row>
  </sheetData>
  <sheetProtection/>
  <mergeCells count="50">
    <mergeCell ref="A22:E22"/>
    <mergeCell ref="A15:G15"/>
    <mergeCell ref="A16:B16"/>
    <mergeCell ref="A18:E18"/>
    <mergeCell ref="A11:G11"/>
    <mergeCell ref="A12:B12"/>
    <mergeCell ref="A14:E14"/>
    <mergeCell ref="A19:G19"/>
    <mergeCell ref="A20:B20"/>
    <mergeCell ref="A1:G6"/>
    <mergeCell ref="A7:E7"/>
    <mergeCell ref="A8:D8"/>
    <mergeCell ref="F8:G8"/>
    <mergeCell ref="A9:C9"/>
    <mergeCell ref="E9:G9"/>
    <mergeCell ref="A23:G23"/>
    <mergeCell ref="A24:B24"/>
    <mergeCell ref="A30:E30"/>
    <mergeCell ref="A31:G31"/>
    <mergeCell ref="A32:B32"/>
    <mergeCell ref="A37:E37"/>
    <mergeCell ref="A38:G38"/>
    <mergeCell ref="A39:B39"/>
    <mergeCell ref="A43:E43"/>
    <mergeCell ref="A44:G44"/>
    <mergeCell ref="A45:B45"/>
    <mergeCell ref="A49:E49"/>
    <mergeCell ref="A50:G50"/>
    <mergeCell ref="A51:B51"/>
    <mergeCell ref="A59:E59"/>
    <mergeCell ref="A60:G60"/>
    <mergeCell ref="A61:B61"/>
    <mergeCell ref="A68:E68"/>
    <mergeCell ref="A69:G69"/>
    <mergeCell ref="A70:B70"/>
    <mergeCell ref="A79:E79"/>
    <mergeCell ref="A108:G108"/>
    <mergeCell ref="A109:B109"/>
    <mergeCell ref="A80:G80"/>
    <mergeCell ref="A81:B81"/>
    <mergeCell ref="A117:E117"/>
    <mergeCell ref="A91:G91"/>
    <mergeCell ref="A92:B92"/>
    <mergeCell ref="A96:E96"/>
    <mergeCell ref="A97:G97"/>
    <mergeCell ref="A98:B98"/>
    <mergeCell ref="A101:E101"/>
    <mergeCell ref="A102:G102"/>
    <mergeCell ref="A103:B103"/>
    <mergeCell ref="A107:E107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67" r:id="rId2"/>
  <rowBreaks count="3" manualBreakCount="3">
    <brk id="49" max="6" man="1"/>
    <brk id="73" max="6" man="1"/>
    <brk id="101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0">
      <selection activeCell="K32" sqref="K32"/>
    </sheetView>
  </sheetViews>
  <sheetFormatPr defaultColWidth="9.00390625" defaultRowHeight="12.75"/>
  <cols>
    <col min="1" max="1" width="16.8515625" style="0" customWidth="1"/>
    <col min="2" max="2" width="41.28125" style="0" customWidth="1"/>
    <col min="3" max="3" width="9.00390625" style="0" customWidth="1"/>
    <col min="4" max="4" width="10.28125" style="0" customWidth="1"/>
    <col min="5" max="5" width="3.7109375" style="0" customWidth="1"/>
    <col min="6" max="7" width="12.140625" style="0" customWidth="1"/>
  </cols>
  <sheetData>
    <row r="1" spans="1:7" ht="12.75">
      <c r="A1" s="460"/>
      <c r="B1" s="460"/>
      <c r="C1" s="460"/>
      <c r="D1" s="460"/>
      <c r="E1" s="460"/>
      <c r="F1" s="460"/>
      <c r="G1" s="460"/>
    </row>
    <row r="2" spans="1:7" ht="12.75">
      <c r="A2" s="460"/>
      <c r="B2" s="460"/>
      <c r="C2" s="460"/>
      <c r="D2" s="460"/>
      <c r="E2" s="460"/>
      <c r="F2" s="460"/>
      <c r="G2" s="460"/>
    </row>
    <row r="3" spans="1:7" ht="12.75">
      <c r="A3" s="460"/>
      <c r="B3" s="460"/>
      <c r="C3" s="460"/>
      <c r="D3" s="460"/>
      <c r="E3" s="460"/>
      <c r="F3" s="460"/>
      <c r="G3" s="460"/>
    </row>
    <row r="4" spans="1:7" ht="12.75">
      <c r="A4" s="460"/>
      <c r="B4" s="460"/>
      <c r="C4" s="460"/>
      <c r="D4" s="460"/>
      <c r="E4" s="460"/>
      <c r="F4" s="460"/>
      <c r="G4" s="460"/>
    </row>
    <row r="5" spans="1:7" ht="12.75">
      <c r="A5" s="460"/>
      <c r="B5" s="460"/>
      <c r="C5" s="460"/>
      <c r="D5" s="460"/>
      <c r="E5" s="460"/>
      <c r="F5" s="460"/>
      <c r="G5" s="460"/>
    </row>
    <row r="6" spans="1:7" ht="12.75">
      <c r="A6" s="460"/>
      <c r="B6" s="460"/>
      <c r="C6" s="460"/>
      <c r="D6" s="460"/>
      <c r="E6" s="460"/>
      <c r="F6" s="460"/>
      <c r="G6" s="460"/>
    </row>
    <row r="7" spans="1:7" ht="42" customHeight="1">
      <c r="A7" s="263" t="s">
        <v>343</v>
      </c>
      <c r="B7" s="608" t="s">
        <v>376</v>
      </c>
      <c r="C7" s="608"/>
      <c r="D7" s="608"/>
      <c r="E7" s="608"/>
      <c r="F7" s="608"/>
      <c r="G7" s="608"/>
    </row>
    <row r="8" spans="1:5" ht="15">
      <c r="A8" s="264" t="s">
        <v>344</v>
      </c>
      <c r="B8" s="609" t="s">
        <v>345</v>
      </c>
      <c r="C8" s="609"/>
      <c r="D8" s="609"/>
      <c r="E8" s="265"/>
    </row>
    <row r="9" spans="1:5" ht="15">
      <c r="A9" s="266" t="s">
        <v>346</v>
      </c>
      <c r="B9" s="610" t="s">
        <v>380</v>
      </c>
      <c r="C9" s="611"/>
      <c r="D9" s="611"/>
      <c r="E9" s="267"/>
    </row>
    <row r="10" spans="1:5" ht="15">
      <c r="A10" s="266" t="s">
        <v>347</v>
      </c>
      <c r="B10" s="268" t="s">
        <v>379</v>
      </c>
      <c r="C10" s="269"/>
      <c r="D10" s="269"/>
      <c r="E10" s="267"/>
    </row>
    <row r="11" spans="1:7" ht="16.5" customHeight="1">
      <c r="A11" s="612" t="s">
        <v>348</v>
      </c>
      <c r="B11" s="612"/>
      <c r="C11" s="612"/>
      <c r="D11" s="612"/>
      <c r="E11" s="612"/>
      <c r="F11" s="612"/>
      <c r="G11" s="612"/>
    </row>
    <row r="12" spans="1:7" ht="12.75" customHeight="1" thickBot="1">
      <c r="A12" s="612"/>
      <c r="B12" s="612"/>
      <c r="C12" s="612"/>
      <c r="D12" s="612"/>
      <c r="E12" s="612"/>
      <c r="F12" s="612"/>
      <c r="G12" s="612"/>
    </row>
    <row r="13" spans="1:7" ht="21" thickBot="1">
      <c r="A13" s="613" t="s">
        <v>349</v>
      </c>
      <c r="B13" s="613"/>
      <c r="C13" s="613"/>
      <c r="D13" s="613"/>
      <c r="F13" s="614" t="s">
        <v>350</v>
      </c>
      <c r="G13" s="615"/>
    </row>
    <row r="14" spans="1:7" ht="15" thickBot="1">
      <c r="A14" s="598" t="s">
        <v>351</v>
      </c>
      <c r="B14" s="599"/>
      <c r="C14" s="270" t="s">
        <v>352</v>
      </c>
      <c r="D14" s="271" t="s">
        <v>353</v>
      </c>
      <c r="F14" s="272" t="s">
        <v>354</v>
      </c>
      <c r="G14" s="273" t="s">
        <v>355</v>
      </c>
    </row>
    <row r="15" spans="1:9" ht="14.25">
      <c r="A15" s="600" t="s">
        <v>356</v>
      </c>
      <c r="B15" s="601"/>
      <c r="C15" s="274" t="s">
        <v>357</v>
      </c>
      <c r="D15" s="275">
        <v>0.04</v>
      </c>
      <c r="F15" s="276">
        <v>0.0343</v>
      </c>
      <c r="G15" s="277">
        <v>0.0671</v>
      </c>
      <c r="I15" s="203"/>
    </row>
    <row r="16" spans="1:9" ht="14.25">
      <c r="A16" s="602" t="s">
        <v>358</v>
      </c>
      <c r="B16" s="603"/>
      <c r="C16" s="278" t="s">
        <v>359</v>
      </c>
      <c r="D16" s="279">
        <v>0.008</v>
      </c>
      <c r="F16" s="280">
        <v>0.0028</v>
      </c>
      <c r="G16" s="281">
        <v>0.0075</v>
      </c>
      <c r="I16" s="203"/>
    </row>
    <row r="17" spans="1:9" ht="14.25">
      <c r="A17" s="602" t="s">
        <v>360</v>
      </c>
      <c r="B17" s="603"/>
      <c r="C17" s="278" t="s">
        <v>361</v>
      </c>
      <c r="D17" s="279">
        <v>0.0098</v>
      </c>
      <c r="F17" s="280">
        <v>0.01</v>
      </c>
      <c r="G17" s="281">
        <v>0.0174</v>
      </c>
      <c r="I17" s="203"/>
    </row>
    <row r="18" spans="1:9" ht="14.25">
      <c r="A18" s="604" t="s">
        <v>362</v>
      </c>
      <c r="B18" s="605"/>
      <c r="C18" s="282" t="s">
        <v>363</v>
      </c>
      <c r="D18" s="283">
        <v>0.0062</v>
      </c>
      <c r="F18" s="284">
        <v>0.0094</v>
      </c>
      <c r="G18" s="285">
        <v>0.0117</v>
      </c>
      <c r="I18" s="203"/>
    </row>
    <row r="19" spans="1:10" ht="15" thickBot="1">
      <c r="A19" s="606" t="s">
        <v>364</v>
      </c>
      <c r="B19" s="607"/>
      <c r="C19" s="286" t="s">
        <v>365</v>
      </c>
      <c r="D19" s="287">
        <v>0.06</v>
      </c>
      <c r="F19" s="276">
        <v>0.0674</v>
      </c>
      <c r="G19" s="277">
        <v>0.094</v>
      </c>
      <c r="I19" s="203"/>
      <c r="J19" s="203"/>
    </row>
    <row r="20" spans="1:9" ht="15" thickTop="1">
      <c r="A20" s="587" t="s">
        <v>366</v>
      </c>
      <c r="B20" s="288" t="s">
        <v>367</v>
      </c>
      <c r="C20" s="589" t="s">
        <v>0</v>
      </c>
      <c r="D20" s="275">
        <v>0.0065</v>
      </c>
      <c r="F20" s="591" t="s">
        <v>368</v>
      </c>
      <c r="G20" s="592"/>
      <c r="I20" s="203"/>
    </row>
    <row r="21" spans="1:9" ht="14.25">
      <c r="A21" s="587"/>
      <c r="B21" s="289" t="s">
        <v>369</v>
      </c>
      <c r="C21" s="589"/>
      <c r="D21" s="279">
        <v>0.03</v>
      </c>
      <c r="F21" s="591"/>
      <c r="G21" s="592"/>
      <c r="I21" s="203"/>
    </row>
    <row r="22" spans="1:9" ht="14.25">
      <c r="A22" s="587"/>
      <c r="B22" s="289" t="s">
        <v>370</v>
      </c>
      <c r="C22" s="589"/>
      <c r="D22" s="279">
        <v>0.05</v>
      </c>
      <c r="F22" s="591"/>
      <c r="G22" s="592"/>
      <c r="I22" s="203"/>
    </row>
    <row r="23" spans="1:10" ht="15" thickBot="1">
      <c r="A23" s="588"/>
      <c r="B23" s="290" t="s">
        <v>371</v>
      </c>
      <c r="C23" s="590"/>
      <c r="D23" s="291">
        <v>0.045</v>
      </c>
      <c r="F23" s="591"/>
      <c r="G23" s="592"/>
      <c r="I23" s="203"/>
      <c r="J23" s="203"/>
    </row>
    <row r="24" spans="1:11" ht="15" thickBot="1">
      <c r="A24" s="593" t="s">
        <v>372</v>
      </c>
      <c r="B24" s="594"/>
      <c r="C24" s="595"/>
      <c r="D24" s="292">
        <f>SUM(D20:D23)</f>
        <v>0.1315</v>
      </c>
      <c r="F24" s="591"/>
      <c r="G24" s="592"/>
      <c r="I24" s="203"/>
      <c r="J24" s="203"/>
      <c r="K24" s="203"/>
    </row>
    <row r="25" spans="1:7" ht="15" thickBot="1">
      <c r="A25" s="596"/>
      <c r="B25" s="596"/>
      <c r="C25" s="596"/>
      <c r="D25" s="596"/>
      <c r="F25" s="597"/>
      <c r="G25" s="597"/>
    </row>
    <row r="26" spans="1:7" ht="15" thickBot="1">
      <c r="A26" s="582" t="s">
        <v>373</v>
      </c>
      <c r="B26" s="583"/>
      <c r="C26" s="584"/>
      <c r="D26" s="293">
        <f>((1+D15+D16+D17)*(1+D18)*(1+D19)/(1-D24))-1</f>
        <v>0.2990441699481865</v>
      </c>
      <c r="F26" s="294">
        <v>0.2076</v>
      </c>
      <c r="G26" s="295">
        <v>0.3</v>
      </c>
    </row>
    <row r="27" spans="1:4" ht="15">
      <c r="A27" s="296"/>
      <c r="B27" s="296"/>
      <c r="C27" s="296"/>
      <c r="D27" s="297"/>
    </row>
    <row r="28" spans="1:3" ht="12.75">
      <c r="A28" s="585" t="s">
        <v>374</v>
      </c>
      <c r="B28" s="585"/>
      <c r="C28" s="585"/>
    </row>
    <row r="29" spans="1:6" ht="13.5">
      <c r="A29" s="586" t="s">
        <v>375</v>
      </c>
      <c r="B29" s="586"/>
      <c r="C29" s="586"/>
      <c r="F29" s="177"/>
    </row>
    <row r="30" ht="12.75">
      <c r="F30" s="177"/>
    </row>
  </sheetData>
  <sheetProtection/>
  <mergeCells count="22">
    <mergeCell ref="A1:G6"/>
    <mergeCell ref="B7:G7"/>
    <mergeCell ref="B8:D8"/>
    <mergeCell ref="B9:D9"/>
    <mergeCell ref="A11:G12"/>
    <mergeCell ref="A13:D13"/>
    <mergeCell ref="F13:G13"/>
    <mergeCell ref="A14:B14"/>
    <mergeCell ref="A15:B15"/>
    <mergeCell ref="A16:B16"/>
    <mergeCell ref="A17:B17"/>
    <mergeCell ref="A18:B18"/>
    <mergeCell ref="A19:B19"/>
    <mergeCell ref="A26:C26"/>
    <mergeCell ref="A28:C28"/>
    <mergeCell ref="A29:C29"/>
    <mergeCell ref="A20:A23"/>
    <mergeCell ref="C20:C23"/>
    <mergeCell ref="F20:G24"/>
    <mergeCell ref="A24:C24"/>
    <mergeCell ref="A25:D25"/>
    <mergeCell ref="F25:G2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Usuário do Windows</cp:lastModifiedBy>
  <cp:lastPrinted>2022-03-24T13:05:27Z</cp:lastPrinted>
  <dcterms:created xsi:type="dcterms:W3CDTF">2005-08-02T15:45:33Z</dcterms:created>
  <dcterms:modified xsi:type="dcterms:W3CDTF">2022-05-20T17:40:00Z</dcterms:modified>
  <cp:category/>
  <cp:version/>
  <cp:contentType/>
  <cp:contentStatus/>
</cp:coreProperties>
</file>