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CONCORRÊNCIAS 2022\EDITAL 008-2022-CP TRANSGARIMPEIRA-ASS\CORREÇÕES E ALTERAÇÕES\CP 008-2022 PLANILHAS RETIFICADAS\"/>
    </mc:Choice>
  </mc:AlternateContent>
  <bookViews>
    <workbookView xWindow="0" yWindow="0" windowWidth="20490" windowHeight="7650"/>
  </bookViews>
  <sheets>
    <sheet name="ORÇAMENTO" sheetId="8" r:id="rId1"/>
    <sheet name="CÁLCULO" sheetId="10" r:id="rId2"/>
    <sheet name="CRONOGRAMA" sheetId="9" r:id="rId3"/>
    <sheet name="COMPOSIÇÃO DO BDI" sheetId="6" r:id="rId4"/>
  </sheets>
  <definedNames>
    <definedName name="_xlnm.Print_Area" localSheetId="1">CÁLCULO!$A$1:$E$70</definedName>
    <definedName name="_xlnm.Print_Area" localSheetId="3">'COMPOSIÇÃO DO BDI'!$A$1:$G$39</definedName>
    <definedName name="_xlnm.Print_Area" localSheetId="2">CRONOGRAMA!$A$1:$L$35</definedName>
    <definedName name="_xlnm.Print_Area" localSheetId="0">ORÇAMENTO!$A$1:$H$79</definedName>
    <definedName name="_xlnm.Print_Titles" localSheetId="1">CÁLCULO!$1:$10</definedName>
    <definedName name="_xlnm.Print_Titles" localSheetId="0">ORÇAMENTO!$1:$12</definedName>
  </definedNames>
  <calcPr calcId="152511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F21" i="10" l="1"/>
  <c r="F22" i="10"/>
  <c r="F23" i="10"/>
  <c r="F20" i="10"/>
  <c r="F19" i="10"/>
  <c r="F18" i="10"/>
  <c r="G15" i="10" l="1"/>
  <c r="H15" i="10" s="1"/>
  <c r="K14" i="10"/>
  <c r="K15" i="10" s="1"/>
  <c r="L14" i="10"/>
  <c r="G14" i="10" l="1"/>
  <c r="E20" i="8"/>
  <c r="E21" i="8"/>
  <c r="E22" i="8"/>
  <c r="E23" i="8"/>
  <c r="E24" i="8"/>
  <c r="E25" i="8"/>
  <c r="E26" i="8"/>
  <c r="E19" i="8"/>
  <c r="F17" i="10"/>
  <c r="F16" i="10"/>
  <c r="D15" i="10"/>
  <c r="C15" i="10"/>
  <c r="C16" i="10"/>
  <c r="C17" i="10"/>
  <c r="C18" i="10"/>
  <c r="C19" i="10"/>
  <c r="C20" i="10"/>
  <c r="C21" i="10"/>
  <c r="C22" i="10"/>
  <c r="C23" i="10"/>
  <c r="B15" i="10"/>
  <c r="B16" i="10"/>
  <c r="B17" i="10"/>
  <c r="B18" i="10"/>
  <c r="B19" i="10"/>
  <c r="B20" i="10"/>
  <c r="B21" i="10"/>
  <c r="B22" i="10"/>
  <c r="B23" i="10"/>
  <c r="A16" i="10"/>
  <c r="A17" i="10"/>
  <c r="A18" i="10"/>
  <c r="A19" i="10"/>
  <c r="A20" i="10"/>
  <c r="A21" i="10"/>
  <c r="A22" i="10"/>
  <c r="A23" i="10"/>
  <c r="I41" i="8"/>
  <c r="G27" i="10"/>
  <c r="G26" i="8"/>
  <c r="G25" i="8"/>
  <c r="G24" i="8"/>
  <c r="G23" i="8"/>
  <c r="G22" i="8"/>
  <c r="G21" i="8"/>
  <c r="G20" i="8"/>
  <c r="G19" i="8"/>
  <c r="H19" i="8" s="1"/>
  <c r="G22" i="10"/>
  <c r="I19" i="8"/>
  <c r="H20" i="8" l="1"/>
  <c r="H21" i="8"/>
  <c r="H25" i="8"/>
  <c r="H22" i="8"/>
  <c r="H23" i="8"/>
  <c r="H24" i="8"/>
  <c r="H26" i="8"/>
  <c r="G51" i="10"/>
  <c r="G50" i="10"/>
  <c r="G52" i="10"/>
  <c r="G49" i="10"/>
  <c r="D50" i="10"/>
  <c r="C50" i="10"/>
  <c r="B50" i="10"/>
  <c r="A50" i="10"/>
  <c r="D49" i="10"/>
  <c r="C49" i="10"/>
  <c r="B49" i="10"/>
  <c r="A49" i="10"/>
  <c r="J55" i="8"/>
  <c r="E55" i="8" s="1"/>
  <c r="J53" i="8"/>
  <c r="J52" i="8"/>
  <c r="G52" i="8"/>
  <c r="G53" i="8"/>
  <c r="G55" i="8"/>
  <c r="E53" i="8"/>
  <c r="E52" i="8"/>
  <c r="G57" i="10"/>
  <c r="H52" i="8" l="1"/>
  <c r="H53" i="8"/>
  <c r="H55" i="8"/>
  <c r="J70" i="8"/>
  <c r="M21" i="9" l="1"/>
  <c r="M19" i="9"/>
  <c r="M17" i="9"/>
  <c r="I64" i="8" l="1"/>
  <c r="F56" i="10"/>
  <c r="A8" i="9"/>
  <c r="B14" i="10" l="1"/>
  <c r="J31" i="8"/>
  <c r="G65" i="8" l="1"/>
  <c r="G64" i="8"/>
  <c r="G63" i="8"/>
  <c r="G62" i="8"/>
  <c r="G60" i="8"/>
  <c r="G59" i="8"/>
  <c r="G58" i="8"/>
  <c r="G57" i="8"/>
  <c r="G54" i="8"/>
  <c r="G49" i="8"/>
  <c r="G48" i="8"/>
  <c r="G47" i="8"/>
  <c r="G46" i="8"/>
  <c r="G45" i="8"/>
  <c r="G44" i="8"/>
  <c r="G43" i="8"/>
  <c r="G42" i="8"/>
  <c r="G41" i="8"/>
  <c r="G40" i="8"/>
  <c r="G38" i="8"/>
  <c r="G37" i="8"/>
  <c r="G36" i="8"/>
  <c r="G35" i="8"/>
  <c r="G34" i="8"/>
  <c r="G33" i="8"/>
  <c r="G32" i="8"/>
  <c r="G31" i="8"/>
  <c r="G30" i="8"/>
  <c r="G29" i="8"/>
  <c r="G18" i="8"/>
  <c r="G17" i="8"/>
  <c r="G15" i="8"/>
  <c r="H15" i="8" s="1"/>
  <c r="C62" i="10" l="1"/>
  <c r="C60" i="10"/>
  <c r="C61" i="10"/>
  <c r="C59" i="10"/>
  <c r="C55" i="10"/>
  <c r="C56" i="10"/>
  <c r="C57" i="10"/>
  <c r="C54" i="10"/>
  <c r="D52" i="10"/>
  <c r="C52" i="10"/>
  <c r="C51" i="10"/>
  <c r="B61" i="10"/>
  <c r="B62" i="10"/>
  <c r="A58" i="10"/>
  <c r="A59" i="10"/>
  <c r="A60" i="10"/>
  <c r="A61" i="10"/>
  <c r="A62" i="10"/>
  <c r="B52" i="10"/>
  <c r="B53" i="10"/>
  <c r="B54" i="10"/>
  <c r="B55" i="10"/>
  <c r="B56" i="10"/>
  <c r="B57" i="10"/>
  <c r="B58" i="10"/>
  <c r="B59" i="10"/>
  <c r="B60" i="10"/>
  <c r="B51" i="10"/>
  <c r="B48" i="10"/>
  <c r="B47" i="10"/>
  <c r="C38" i="10"/>
  <c r="C39" i="10"/>
  <c r="C40" i="10"/>
  <c r="C41" i="10"/>
  <c r="C42" i="10"/>
  <c r="C43" i="10"/>
  <c r="C44" i="10"/>
  <c r="C45" i="10"/>
  <c r="C46" i="10"/>
  <c r="C37" i="10"/>
  <c r="B46" i="10"/>
  <c r="B37" i="10"/>
  <c r="B38" i="10"/>
  <c r="B39" i="10"/>
  <c r="B40" i="10"/>
  <c r="B41" i="10"/>
  <c r="B42" i="10"/>
  <c r="B43" i="10"/>
  <c r="B44" i="10"/>
  <c r="B45" i="10"/>
  <c r="A47" i="10"/>
  <c r="A48" i="10"/>
  <c r="A51" i="10"/>
  <c r="A52" i="10"/>
  <c r="A53" i="10"/>
  <c r="A54" i="10"/>
  <c r="A55" i="10"/>
  <c r="A56" i="10"/>
  <c r="A57" i="10"/>
  <c r="A46" i="10"/>
  <c r="A38" i="10"/>
  <c r="A39" i="10"/>
  <c r="A40" i="10"/>
  <c r="A41" i="10"/>
  <c r="A42" i="10"/>
  <c r="A43" i="10"/>
  <c r="A44" i="10"/>
  <c r="A45" i="10"/>
  <c r="A37" i="10"/>
  <c r="J62" i="8" l="1"/>
  <c r="E62" i="8" s="1"/>
  <c r="D59" i="10" s="1"/>
  <c r="J57" i="8"/>
  <c r="E57" i="8" s="1"/>
  <c r="J47" i="8"/>
  <c r="J36" i="8"/>
  <c r="J63" i="8"/>
  <c r="J54" i="8"/>
  <c r="M54" i="8"/>
  <c r="C35" i="10"/>
  <c r="C34" i="10"/>
  <c r="C33" i="10"/>
  <c r="C32" i="10"/>
  <c r="C31" i="10"/>
  <c r="C30" i="10"/>
  <c r="C29" i="10"/>
  <c r="C28" i="10"/>
  <c r="C27" i="10"/>
  <c r="C26" i="10"/>
  <c r="B35" i="10"/>
  <c r="B34" i="10"/>
  <c r="B33" i="10"/>
  <c r="B32" i="10"/>
  <c r="B31" i="10"/>
  <c r="B30" i="10"/>
  <c r="B29" i="10"/>
  <c r="B28" i="10"/>
  <c r="B27" i="10"/>
  <c r="B26" i="10"/>
  <c r="J40" i="8"/>
  <c r="E40" i="8" s="1"/>
  <c r="D37" i="10" s="1"/>
  <c r="J29" i="8"/>
  <c r="E54" i="8" l="1"/>
  <c r="D51" i="10" s="1"/>
  <c r="H57" i="8"/>
  <c r="D54" i="10"/>
  <c r="H62" i="8"/>
  <c r="H40" i="8"/>
  <c r="E64" i="8"/>
  <c r="D61" i="10" s="1"/>
  <c r="J38" i="8" l="1"/>
  <c r="E38" i="8" s="1"/>
  <c r="D35" i="10" s="1"/>
  <c r="E29" i="8"/>
  <c r="J30" i="8"/>
  <c r="E36" i="8"/>
  <c r="D33" i="10" s="1"/>
  <c r="E47" i="8"/>
  <c r="D44" i="10" s="1"/>
  <c r="E30" i="8" l="1"/>
  <c r="H30" i="8" s="1"/>
  <c r="H29" i="8"/>
  <c r="D26" i="10"/>
  <c r="H47" i="8"/>
  <c r="H36" i="8"/>
  <c r="J41" i="8"/>
  <c r="E41" i="8" s="1"/>
  <c r="D38" i="10" s="1"/>
  <c r="K30" i="8" l="1"/>
  <c r="D27" i="10"/>
  <c r="J46" i="8"/>
  <c r="E46" i="8" s="1"/>
  <c r="D43" i="10" s="1"/>
  <c r="J48" i="8"/>
  <c r="E48" i="8" s="1"/>
  <c r="D45" i="10" s="1"/>
  <c r="J49" i="8"/>
  <c r="E49" i="8" s="1"/>
  <c r="D46" i="10" s="1"/>
  <c r="J42" i="8"/>
  <c r="E42" i="8" s="1"/>
  <c r="D39" i="10" s="1"/>
  <c r="J43" i="8"/>
  <c r="E43" i="8" s="1"/>
  <c r="D40" i="10" s="1"/>
  <c r="J44" i="8"/>
  <c r="E44" i="8" s="1"/>
  <c r="D41" i="10" s="1"/>
  <c r="J45" i="8"/>
  <c r="E45" i="8" s="1"/>
  <c r="D42" i="10" s="1"/>
  <c r="J37" i="8"/>
  <c r="E37" i="8" s="1"/>
  <c r="D34" i="10" s="1"/>
  <c r="J33" i="8"/>
  <c r="E33" i="8" s="1"/>
  <c r="D30" i="10" s="1"/>
  <c r="J34" i="8"/>
  <c r="E34" i="8" s="1"/>
  <c r="D31" i="10" s="1"/>
  <c r="J35" i="8"/>
  <c r="E35" i="8" s="1"/>
  <c r="D32" i="10" s="1"/>
  <c r="J32" i="8"/>
  <c r="E32" i="8" s="1"/>
  <c r="D29" i="10" s="1"/>
  <c r="E31" i="8"/>
  <c r="D28" i="10" s="1"/>
  <c r="I59" i="8"/>
  <c r="J60" i="8"/>
  <c r="J58" i="8"/>
  <c r="E59" i="8" l="1"/>
  <c r="D56" i="10" s="1"/>
  <c r="K54" i="8"/>
  <c r="K50" i="8"/>
  <c r="B21" i="9"/>
  <c r="J65" i="8"/>
  <c r="E65" i="8" s="1"/>
  <c r="D62" i="10" s="1"/>
  <c r="E63" i="8"/>
  <c r="D60" i="10" s="1"/>
  <c r="E58" i="8"/>
  <c r="D55" i="10" s="1"/>
  <c r="E60" i="8"/>
  <c r="D57" i="10" s="1"/>
  <c r="H64" i="8"/>
  <c r="H32" i="8"/>
  <c r="H54" i="8"/>
  <c r="H51" i="8" s="1"/>
  <c r="H46" i="8" l="1"/>
  <c r="H42" i="8"/>
  <c r="H49" i="8"/>
  <c r="H45" i="8"/>
  <c r="H43" i="8"/>
  <c r="H44" i="8"/>
  <c r="H33" i="8"/>
  <c r="H35" i="8"/>
  <c r="H34" i="8"/>
  <c r="H58" i="8"/>
  <c r="H60" i="8"/>
  <c r="H48" i="8"/>
  <c r="H37" i="8"/>
  <c r="H65" i="8"/>
  <c r="H63" i="8"/>
  <c r="H38" i="8"/>
  <c r="H61" i="8" l="1"/>
  <c r="M45" i="8"/>
  <c r="M33" i="8"/>
  <c r="B19" i="9" l="1"/>
  <c r="H59" i="8" l="1"/>
  <c r="H56" i="8" s="1"/>
  <c r="A36" i="10"/>
  <c r="B24" i="10"/>
  <c r="B25" i="10"/>
  <c r="B36" i="10"/>
  <c r="D14" i="10"/>
  <c r="C14" i="10"/>
  <c r="A25" i="10"/>
  <c r="A15" i="10"/>
  <c r="A24" i="10"/>
  <c r="A14" i="10"/>
  <c r="B13" i="10"/>
  <c r="A13" i="10"/>
  <c r="B11" i="10"/>
  <c r="D12" i="10"/>
  <c r="C12" i="10"/>
  <c r="B12" i="10"/>
  <c r="A12" i="10"/>
  <c r="H31" i="8"/>
  <c r="H28" i="8" s="1"/>
  <c r="H18" i="8"/>
  <c r="B15" i="9" l="1"/>
  <c r="B17" i="9" l="1"/>
  <c r="H14" i="8" l="1"/>
  <c r="H41" i="8" l="1"/>
  <c r="H39" i="8" s="1"/>
  <c r="H27" i="8" l="1"/>
  <c r="C19" i="9" s="1"/>
  <c r="L20" i="9" l="1"/>
  <c r="K20" i="9"/>
  <c r="J20" i="9"/>
  <c r="D21" i="6"/>
  <c r="D23" i="6" s="1"/>
  <c r="H50" i="8" l="1"/>
  <c r="C21" i="9" l="1"/>
  <c r="J22" i="9" s="1"/>
  <c r="G22" i="9"/>
  <c r="K22" i="9"/>
  <c r="L22" i="9"/>
  <c r="C15" i="9"/>
  <c r="E22" i="9" l="1"/>
  <c r="F22" i="9"/>
  <c r="I22" i="9"/>
  <c r="H22" i="9"/>
  <c r="E16" i="9"/>
  <c r="G20" i="9" l="1"/>
  <c r="E20" i="9"/>
  <c r="I20" i="9"/>
  <c r="H20" i="9"/>
  <c r="F20" i="9"/>
  <c r="H17" i="8"/>
  <c r="H16" i="8" l="1"/>
  <c r="G9" i="8" l="1"/>
  <c r="H66" i="8"/>
  <c r="C17" i="9"/>
  <c r="K18" i="9" s="1"/>
  <c r="K24" i="9" s="1"/>
  <c r="I9" i="8"/>
  <c r="J9" i="8" s="1"/>
  <c r="L18" i="9" l="1"/>
  <c r="L24" i="9" s="1"/>
  <c r="F18" i="9"/>
  <c r="F24" i="9" s="1"/>
  <c r="C23" i="9"/>
  <c r="K25" i="9" s="1"/>
  <c r="I18" i="9"/>
  <c r="I24" i="9" s="1"/>
  <c r="H18" i="9"/>
  <c r="H24" i="9" s="1"/>
  <c r="G18" i="9"/>
  <c r="G24" i="9" s="1"/>
  <c r="J18" i="9"/>
  <c r="E18" i="9"/>
  <c r="E24" i="9" s="1"/>
  <c r="E26" i="9" s="1"/>
  <c r="F26" i="9" s="1"/>
  <c r="I25" i="9" l="1"/>
  <c r="F25" i="9"/>
  <c r="D19" i="9"/>
  <c r="L25" i="9"/>
  <c r="G25" i="9"/>
  <c r="D21" i="9"/>
  <c r="D17" i="9"/>
  <c r="H25" i="9"/>
  <c r="G26" i="9"/>
  <c r="H26" i="9" s="1"/>
  <c r="I26" i="9" s="1"/>
  <c r="E25" i="9"/>
  <c r="E27" i="9" s="1"/>
  <c r="F27" i="9" s="1"/>
  <c r="D15" i="9"/>
  <c r="J24" i="9"/>
  <c r="J25" i="9" s="1"/>
  <c r="D23" i="9" l="1"/>
  <c r="G27" i="9"/>
  <c r="H27" i="9" s="1"/>
  <c r="I27" i="9" s="1"/>
  <c r="J27" i="9" s="1"/>
  <c r="K27" i="9" s="1"/>
  <c r="L27" i="9" s="1"/>
  <c r="J26" i="9"/>
  <c r="K26" i="9" s="1"/>
  <c r="L26" i="9" s="1"/>
</calcChain>
</file>

<file path=xl/sharedStrings.xml><?xml version="1.0" encoding="utf-8"?>
<sst xmlns="http://schemas.openxmlformats.org/spreadsheetml/2006/main" count="330" uniqueCount="228">
  <si>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</si>
  <si>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</si>
  <si>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</si>
  <si>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</si>
  <si>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</si>
  <si>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</si>
  <si>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</si>
  <si>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</si>
  <si>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</si>
  <si>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</si>
  <si>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</si>
  <si>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</si>
  <si>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</si>
  <si>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</si>
  <si>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</si>
  <si>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</si>
  <si>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</si>
  <si>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</si>
  <si>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</si>
  <si>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</si>
  <si>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</si>
  <si>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</si>
  <si>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</si>
  <si>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</si>
  <si>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</si>
  <si>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</si>
  <si>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</si>
  <si>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</si>
  <si>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</si>
  <si>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</si>
  <si>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</si>
  <si>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</si>
  <si>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</si>
  <si>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</si>
  <si>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</si>
  <si>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</si>
  <si>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</si>
  <si>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</si>
  <si>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</si>
  <si>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</si>
  <si>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</si>
  <si>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</si>
  <si>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</si>
  <si>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</si>
  <si>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</si>
  <si>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</si>
  <si>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</si>
  <si>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</si>
  <si>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</si>
  <si>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</si>
  <si>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</si>
  <si>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</si>
  <si>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</si>
  <si>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</si>
  <si>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</si>
  <si>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PLACA DE OBRA EM CHAPA DE ACO GALVANIZADO</t>
  </si>
  <si>
    <t>MOVIMENTO DE TERRA</t>
  </si>
  <si>
    <t>2.1</t>
  </si>
  <si>
    <t>REATERRO MECANIZADO DE VALA COM ESCAVADEIRA HIDRÁULICA (CAPACIDADE DA CAÇAMBA: 0,8 M³ / POTÊNCIA: 111 HP), LARGURA DE 1,5 A 2,5 M, PROFUNDIDADE DE 1,5 A 3,0 M, COM SOLO DE 1ª CATEGORIA EM LOCAIS COM ALTO NÍVEL DE INTERFERÊNCIA. AF_04/2016</t>
  </si>
  <si>
    <t>3.1.1</t>
  </si>
  <si>
    <t>3.1.2</t>
  </si>
  <si>
    <t>3.1.3</t>
  </si>
  <si>
    <t>3.2.1</t>
  </si>
  <si>
    <t>KG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</si>
  <si>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</si>
  <si>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</si>
  <si>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</si>
  <si>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</si>
  <si>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</si>
  <si>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</si>
  <si>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</si>
  <si>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</si>
  <si>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</si>
  <si>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</si>
  <si>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</si>
  <si>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</si>
  <si>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</si>
  <si>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</si>
  <si>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ITAITUBA</t>
    </r>
  </si>
  <si>
    <t>VALOR</t>
  </si>
  <si>
    <t>Valmir Climaco de Aguiar</t>
  </si>
  <si>
    <t>3.1.4</t>
  </si>
  <si>
    <t>3.1.5</t>
  </si>
  <si>
    <t>CONCRETO CICLOPICO FCK=10MPA 30% PEDRA DE MAO INCLUSIVE LANCAMENTO</t>
  </si>
  <si>
    <t>TUBO DE CONCRETO PARA REDES COLETORAS DE ÁGUAS PLUVIAIS, DIÂMETRO DE 1200 MM, JUNTA RÍGIDA, INSTALADO EM LOCAL COM BAIXO NÍVEL DE INTERFERÊNCIAS - FORNECIMENTO E ASSENTAMENTO. AF_12/2015</t>
  </si>
  <si>
    <t>DESFORMA</t>
  </si>
  <si>
    <t>3.1.6</t>
  </si>
  <si>
    <t>3.1.7</t>
  </si>
  <si>
    <t>3.1.8</t>
  </si>
  <si>
    <t>3.1.9</t>
  </si>
  <si>
    <t>3.1.10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</si>
  <si>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</si>
  <si>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</si>
  <si>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</si>
  <si>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</si>
  <si>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</si>
  <si>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</si>
  <si>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</si>
  <si>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</si>
  <si>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</si>
  <si>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4.1</t>
  </si>
  <si>
    <t>4.2</t>
  </si>
  <si>
    <t>4.2.1</t>
  </si>
  <si>
    <t>4.2.2</t>
  </si>
  <si>
    <t>4.2.3</t>
  </si>
  <si>
    <t>ARMAÇÃO DE ESTRUTURAS DE CONCRETO ARMADO, EXCETO VIGAS, PILARES, LAJES E FUNDAÇÕES, UTILIZANDO AÇO CA-50 DE 6,3 MM - MONTAGEM. AF_12/2015</t>
  </si>
  <si>
    <t>ARMAÇÃO DE ESTRUTURAS DE CONCRETO ARMADO, EXCETO VIGAS, PILARES, LAJES E FUNDAÇÕES, UTILIZANDO AÇO CA-50 DE 8,0 MM - MONTAGEM. AF_12/2016</t>
  </si>
  <si>
    <t>ARMAÇÃO DE ESTRUTURAS DE CONCRETO ARMADO, EXCETO VIGAS, PILARES, LAJES E FUNDAÇÕES, UTILIZANDO AÇO CA-50 DE 10,0 MM - MONTAGEM. AF_12/2017</t>
  </si>
  <si>
    <t>ARMAÇÃO DE ESTRUTURAS DE CONCRETO ARMADO, EXCETO VIGAS, PILARES, LAJES E FUNDAÇÕES, UTILIZANDO AÇO CA-50 DE 12,5 MM - MONTAGEM. AF_12/2018</t>
  </si>
  <si>
    <t>ARMAÇÃO DE ESTRUTURAS DE CONCRETO ARMADO, EXCETO VIGAS, PILARES, LAJES E FUNDAÇÕES, UTILIZANDO AÇO CA-50 DE 16,0 MM - MONTAGEM. AF_12/2019</t>
  </si>
  <si>
    <t>CONCRETO FCK = 30MPA, TRAÇO 1:2,1:2,5 (CIMENTO/ AREIA MÉDIA/ BRITA 1)- PREPARO MECÂNICO COM BETONEIRA 400 L. AF_07/2016</t>
  </si>
  <si>
    <t>4.3</t>
  </si>
  <si>
    <t>4.3.1</t>
  </si>
  <si>
    <t>4.3.2</t>
  </si>
  <si>
    <t>4.3.3</t>
  </si>
  <si>
    <t>4.2.4</t>
  </si>
  <si>
    <t>4.3.4</t>
  </si>
  <si>
    <t>m</t>
  </si>
  <si>
    <t>BUEIRO METÁLICO COM CHAPAS MÚLTIPLAS MP 100 GALVANIZADAS - D = 2,50 M - BRITA COMERCIAL</t>
  </si>
  <si>
    <t>SINAPI           94966</t>
  </si>
  <si>
    <t>SINAPI           92922</t>
  </si>
  <si>
    <t>SINAPI           92921</t>
  </si>
  <si>
    <t>SINAPI           92917</t>
  </si>
  <si>
    <t>SINAPI           92916</t>
  </si>
  <si>
    <t>SEDOP             50281</t>
  </si>
  <si>
    <t>SICRO          605714</t>
  </si>
  <si>
    <t>SINAPI            92919</t>
  </si>
  <si>
    <t>FORMA PARA CONCRETO EM CHAPA MAD. COMPENSADAS-ESTRUTURAS ESPECIAIS</t>
  </si>
  <si>
    <t>SINAPI            92829</t>
  </si>
  <si>
    <t>SINAPI           92829</t>
  </si>
  <si>
    <t>4,12 x 19 = 78,28 m³</t>
  </si>
  <si>
    <t>130,18 m x 19 = 2473,42 m²</t>
  </si>
  <si>
    <t>400,69 x 19 = 7613,11 kg</t>
  </si>
  <si>
    <t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t>
  </si>
  <si>
    <t>CONCRETO MAGRO PARA LASTRO, TRAÇO 1:4,5:4,5 (CIMENTO/ AREIA MÉDIA/ BRITA 1) - PREPARO MECÂNICO COM BETONEIRA 600 L. AF_07/2016</t>
  </si>
  <si>
    <t>SINAPI           94968</t>
  </si>
  <si>
    <t>TUBO DE CONCRETO PARA REDES COLETORAS DE ÁGUAS PLUVIAIS, DIÂMETRO DE 1000 MM, JUNTA RÍGIDA, INSTALADO EM LOCAL COM ALTO NÍVEL DE INTERFERÊNCIAS - FORNECIMENTO E ASSENTAMENTO. AF_12/2015</t>
  </si>
  <si>
    <t>SINAPI            92226</t>
  </si>
  <si>
    <t>307,83 x 19 = 5848,77 kg</t>
  </si>
  <si>
    <t>366,25 x 19 = 6958,75 kg</t>
  </si>
  <si>
    <t>275,82 x 19 = 5240,58</t>
  </si>
  <si>
    <t>68,94 x 19 = 1309,86 kg</t>
  </si>
  <si>
    <t>25,47 x 19 = 483,93 m³</t>
  </si>
  <si>
    <t>130,18 x 19 = 2473,42</t>
  </si>
  <si>
    <t>6,44 x 13 = 83,72 m³</t>
  </si>
  <si>
    <t>148,81 x 13 = 1934,53 m²</t>
  </si>
  <si>
    <t>307,83 x 13 = 4001,79 kg</t>
  </si>
  <si>
    <t>532,49 x 13 = 6922,37 kg</t>
  </si>
  <si>
    <t>366,25 x 13 = 4761,25 kg</t>
  </si>
  <si>
    <t>298,33 x 13 = 3878,29 kg</t>
  </si>
  <si>
    <t>121,59 x 13 = 1580,67 kg</t>
  </si>
  <si>
    <t>31,22 x 13 = 405,86 m³</t>
  </si>
  <si>
    <t>BUEIROS TUBULAR DE CONCRETO ARMADO</t>
  </si>
  <si>
    <t>GALERIA DUPLA - DN: Ø 2500 mm (13 und)</t>
  </si>
  <si>
    <t>GALERIA SIMPLES - DN: Ø 2500 mm (19 und)</t>
  </si>
  <si>
    <t>GALERIAS EM TUBO CIRCULAR DE AÇO ARMCO STACO</t>
  </si>
  <si>
    <t>SINAPI           90086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</si>
  <si>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</t>
    </r>
    <r>
      <rPr>
        <sz val="11"/>
        <color indexed="8"/>
        <rFont val="Courier New"/>
        <family val="3"/>
      </rPr>
      <t>ITAITUBA - PARÁ</t>
    </r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</si>
  <si>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</si>
  <si>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SINAPI               93362</t>
  </si>
  <si>
    <t>SEDOP              50037</t>
  </si>
  <si>
    <t>SEDOP                  010004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</si>
  <si>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DISTRITO MORAES DE ALMEIDA - ITAITUBA-PA</t>
    </r>
  </si>
  <si>
    <t>BUEIRO SIMPLES DN: Ø1000 mm (72 pts)</t>
  </si>
  <si>
    <t>BUEIRO DUPLO DN: Ø1200 mm (15 pts)</t>
  </si>
  <si>
    <t>BUEIRO TRIPLO DN: Ø1200 mm (2 pts)</t>
  </si>
  <si>
    <t>72 pts x 18 m = 1296 m</t>
  </si>
  <si>
    <t>13,42 m³ x 15 pts = 201,30 m³</t>
  </si>
  <si>
    <t>11,86 m³ x 15 pts = 177,90 m³</t>
  </si>
  <si>
    <t>19,42 m³ x 2 pts = 39,44 m³</t>
  </si>
  <si>
    <t>14,02 m³ x 2 pts = 28,04 m³</t>
  </si>
  <si>
    <t>18 m x 2 pts x 3 linhas = 108 m</t>
  </si>
  <si>
    <t>62,39 m² x 2 pts = 124,78 m²</t>
  </si>
  <si>
    <t>DIAS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</si>
  <si>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CONSTRUÇÃO DE OBRAS DE ARTES NA ESTRADA TRANSGARIMPEIRA</t>
    </r>
  </si>
  <si>
    <t>CONCRETO CICLÓPICO FCK = 15MPA, 30% PEDRA DE MÃO EM VOLUME REAL, INCLUSIVE LANÇAMENTO. AF_05/2021</t>
  </si>
  <si>
    <t>SINAPI           102487</t>
  </si>
  <si>
    <t>18 m x 15 pts x 2 linhas = 540 m</t>
  </si>
  <si>
    <t>55,16 m² x 15 pts = 773,40 m²</t>
  </si>
  <si>
    <t>5,54 m³ x 72 pts = 398,88 m³</t>
  </si>
  <si>
    <t>7,19 m³ x 72 pts = 517,68 m³</t>
  </si>
  <si>
    <t>38,89 m³ x 72 pts = 2800,08 m³</t>
  </si>
  <si>
    <t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t>
  </si>
  <si>
    <t>SINAPI               90090</t>
  </si>
  <si>
    <t>REATERRO MECANIZADO DE VALA COM ESCAVADEIRA HIDRÁULICA (CAPACIDADE DA CAÇAMBA: 0,8 M³ / POTÊNCIA: 111 HP), LARGURA DE 1,5 A 2,5 M, PROFUNDIDADE DE 4,5 A 6,0 M, COM SOLO DE 1ª CATEGORIA EM LOCAIS COM ALTO NÍVEL DE INTERFERÊNCIA. AF_04/2016</t>
  </si>
  <si>
    <t>SINAPI               93366</t>
  </si>
  <si>
    <t>ESCAVAÇÃO HORIZONTAL (LEITO), INCLUINDO ESCARIFICAÇÃO EM SOLO DE 2A CATEGORIA COM TRATOR DE ESTEIRAS (170HP/LÂMINA: 5,20M3). AF_07/2020</t>
  </si>
  <si>
    <t>SINAPI               101121</t>
  </si>
  <si>
    <t>REGULARIZAÇÃO E COMPACTAÇÃO DE SUBLEITO DE SOLO  PREDOMINANTEMENTE ARGILOSO (LEITO). AF_11/2019</t>
  </si>
  <si>
    <t>SINAPI               100576</t>
  </si>
  <si>
    <t>ESCAVAÇÃO HORIZONTAL EM SOLO DE 1A CATEGORIA COM TRATOR DE ESTEIRAS (125HP/LÂMINA: 2,70M3) (SUB-BASE). AF_07/2020</t>
  </si>
  <si>
    <t>SINAPI               101118</t>
  </si>
  <si>
    <t>REGULARIZAÇÃO DE SUPERFÍCIES COM MOTONIVELADORA (SUB-BASE). AF_11/2019</t>
  </si>
  <si>
    <t>SINAPI               100575</t>
  </si>
  <si>
    <t>TRANSPORTE COM CAMINHÃO BASCULANTE DE 18m³ - DMT = 3,0 km</t>
  </si>
  <si>
    <t>SINAPI               100940</t>
  </si>
  <si>
    <t>M³/KM</t>
  </si>
  <si>
    <t>REGULARIZAÇÃO E COMPACTAÇÃO DE SOLO. (BASE)</t>
  </si>
  <si>
    <t>2.3</t>
  </si>
  <si>
    <t>2.4</t>
  </si>
  <si>
    <t>2.5</t>
  </si>
  <si>
    <t>2.6</t>
  </si>
  <si>
    <t>2.7</t>
  </si>
  <si>
    <t>2.8</t>
  </si>
  <si>
    <t>2.9</t>
  </si>
  <si>
    <t>2.10</t>
  </si>
  <si>
    <t>SICRO          605670</t>
  </si>
  <si>
    <t xml:space="preserve">TABELA                                               SINAPI/PA - ABRIL/2022       SICRO - JANEIRO/2022             SEDOP - FEVEREIRO/2022                      COM DESONERAÇÃO            </t>
  </si>
  <si>
    <r>
      <t xml:space="preserve">5,00 m x 2,50 m x 12,00 m x 32 und = </t>
    </r>
    <r>
      <rPr>
        <b/>
        <sz val="11"/>
        <color theme="1"/>
        <rFont val="Calibri"/>
        <family val="2"/>
        <scheme val="minor"/>
      </rPr>
      <t>4800,00 m³</t>
    </r>
  </si>
  <si>
    <t>5,00 m x 2,50 m x 12,00 m x 32 und = 4800,00 m³</t>
  </si>
  <si>
    <t>DATA DO ORÇAMENTO: 08/06/2022</t>
  </si>
  <si>
    <t>DATA DA EXPEDIÇÃO: 08/06/2022</t>
  </si>
  <si>
    <t>12,00 m x 19 = 228,00 m</t>
  </si>
  <si>
    <t>24 und x 13 = 312,00 m</t>
  </si>
  <si>
    <r>
      <rPr>
        <b/>
        <sz val="11"/>
        <color theme="1"/>
        <rFont val="Cambria"/>
        <family val="1"/>
        <scheme val="major"/>
      </rPr>
      <t>As: 0,25*H²+b*H</t>
    </r>
    <r>
      <rPr>
        <sz val="11"/>
        <color theme="1"/>
        <rFont val="Cambria"/>
        <family val="1"/>
        <scheme val="major"/>
      </rPr>
      <t xml:space="preserve"> </t>
    </r>
    <r>
      <rPr>
        <sz val="11"/>
        <color theme="1"/>
        <rFont val="Calibri"/>
        <family val="2"/>
        <scheme val="minor"/>
      </rPr>
      <t xml:space="preserve">                                   </t>
    </r>
    <r>
      <rPr>
        <b/>
        <sz val="11"/>
        <color theme="1"/>
        <rFont val="Calibri"/>
        <family val="2"/>
        <scheme val="minor"/>
      </rPr>
      <t>LINHA SIMPLES</t>
    </r>
    <r>
      <rPr>
        <sz val="11"/>
        <color theme="1"/>
        <rFont val="Calibri"/>
        <family val="2"/>
        <scheme val="minor"/>
      </rPr>
      <t xml:space="preserve"> - 0,25 x 3,50² m + 2,00 m * 3,50 m = 10,06 m²         Ve:  As x C                                   Ve: 10,06 m² x 18,00 m = 181,13 m³                              Volume total: 181,13 * 72 = </t>
    </r>
    <r>
      <rPr>
        <b/>
        <sz val="11"/>
        <color theme="1"/>
        <rFont val="Calibri"/>
        <family val="2"/>
        <scheme val="minor"/>
      </rPr>
      <t>13.041,36 m³</t>
    </r>
    <r>
      <rPr>
        <sz val="11"/>
        <color theme="1"/>
        <rFont val="Calibri"/>
        <family val="2"/>
        <scheme val="minor"/>
      </rPr>
      <t xml:space="preserve">                          </t>
    </r>
    <r>
      <rPr>
        <b/>
        <sz val="11"/>
        <color theme="1"/>
        <rFont val="Calibri"/>
        <family val="2"/>
        <scheme val="minor"/>
      </rPr>
      <t>LINHA DUPLA</t>
    </r>
    <r>
      <rPr>
        <sz val="11"/>
        <color theme="1"/>
        <rFont val="Calibri"/>
        <family val="2"/>
        <scheme val="minor"/>
      </rPr>
      <t xml:space="preserve"> - 0,25 x 3,50² m + 3,72 m * 3,50 m = 16,08 m²         Ve:  As x C                                   Ve: 16,08 m² x 18,00 m = 289,49 m³                              Volume total: 289,49 * 15 = </t>
    </r>
    <r>
      <rPr>
        <b/>
        <sz val="11"/>
        <color theme="1"/>
        <rFont val="Calibri"/>
        <family val="2"/>
        <scheme val="minor"/>
      </rPr>
      <t>4.342,35 m³</t>
    </r>
    <r>
      <rPr>
        <sz val="11"/>
        <color theme="1"/>
        <rFont val="Calibri"/>
        <family val="2"/>
        <scheme val="minor"/>
      </rPr>
      <t xml:space="preserve">                               </t>
    </r>
    <r>
      <rPr>
        <b/>
        <sz val="11"/>
        <color theme="1"/>
        <rFont val="Calibri"/>
        <family val="2"/>
        <scheme val="minor"/>
      </rPr>
      <t>LINHA TRIPLA</t>
    </r>
    <r>
      <rPr>
        <sz val="11"/>
        <color theme="1"/>
        <rFont val="Calibri"/>
        <family val="2"/>
        <scheme val="minor"/>
      </rPr>
      <t xml:space="preserve"> - 0,25 x 3,50² m + 5,32 m * 3,50 m = 21,68 m²         Ve:  As x C                                   Ve: 21,68 m² x 18,00 m = 390,29 m³                              Volume total: 390,29 * 2 = </t>
    </r>
    <r>
      <rPr>
        <b/>
        <sz val="11"/>
        <color theme="1"/>
        <rFont val="Calibri"/>
        <family val="2"/>
        <scheme val="minor"/>
      </rPr>
      <t>780,58 m³</t>
    </r>
    <r>
      <rPr>
        <sz val="11"/>
        <color theme="1"/>
        <rFont val="Calibri"/>
        <family val="2"/>
        <scheme val="minor"/>
      </rPr>
      <t xml:space="preserve">         </t>
    </r>
    <r>
      <rPr>
        <b/>
        <sz val="11"/>
        <color theme="1"/>
        <rFont val="Calibri"/>
        <family val="2"/>
        <scheme val="minor"/>
      </rPr>
      <t xml:space="preserve">GALERIA SIMPLES - </t>
    </r>
    <r>
      <rPr>
        <sz val="11"/>
        <color theme="1"/>
        <rFont val="Calibri"/>
        <family val="2"/>
        <scheme val="minor"/>
      </rPr>
      <t xml:space="preserve">0,25 x 4,70² m + 3,50 m * 4,70 m = 19,51 m²         Ve:  As x C                                   Ve: 19,51 m² x 12,00 m = 234,12 m³                              Volume total: 234,12 * 19 = </t>
    </r>
    <r>
      <rPr>
        <b/>
        <sz val="11"/>
        <color theme="1"/>
        <rFont val="Calibri"/>
        <family val="2"/>
        <scheme val="minor"/>
      </rPr>
      <t>4.448,28 m³</t>
    </r>
    <r>
      <rPr>
        <sz val="11"/>
        <color theme="1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>GALERIA DUPLA</t>
    </r>
    <r>
      <rPr>
        <sz val="11"/>
        <color theme="1"/>
        <rFont val="Calibri"/>
        <family val="2"/>
        <scheme val="minor"/>
      </rPr>
      <t xml:space="preserve"> - 0,25 x 4,70² m + 6,20 m * 4,70 m = 32,20 m²         Ve:  As x C                                   Ve: 32,20 m² x 12,00 m = 386,40 m³                              Volume total: 386,40 * 13 = </t>
    </r>
    <r>
      <rPr>
        <b/>
        <sz val="11"/>
        <color theme="1"/>
        <rFont val="Calibri"/>
        <family val="2"/>
        <scheme val="minor"/>
      </rPr>
      <t>5.023,20 m³</t>
    </r>
    <r>
      <rPr>
        <sz val="11"/>
        <color theme="1"/>
        <rFont val="Calibri"/>
        <family val="2"/>
        <scheme val="minor"/>
      </rPr>
      <t xml:space="preserve">                                                         </t>
    </r>
    <r>
      <rPr>
        <b/>
        <sz val="11"/>
        <color theme="1"/>
        <rFont val="Calibri"/>
        <family val="2"/>
        <scheme val="minor"/>
      </rPr>
      <t>VOLUME GERAL: 27.635,77 m³</t>
    </r>
  </si>
  <si>
    <r>
      <t xml:space="preserve">VOL. DE TUBO:  Área * Comprimento                                              </t>
    </r>
    <r>
      <rPr>
        <b/>
        <sz val="11"/>
        <color theme="1"/>
        <rFont val="Calibri"/>
        <family val="2"/>
        <scheme val="minor"/>
      </rPr>
      <t>TUDO DE CONCRETO</t>
    </r>
    <r>
      <rPr>
        <sz val="11"/>
        <color theme="1"/>
        <rFont val="Calibri"/>
        <family val="2"/>
        <scheme val="minor"/>
      </rPr>
      <t xml:space="preserve"> - 0,7² x 3,14 x 1944= 2991,03   m³                                                          </t>
    </r>
    <r>
      <rPr>
        <b/>
        <sz val="11"/>
        <color theme="1"/>
        <rFont val="Calibri"/>
        <family val="2"/>
        <scheme val="minor"/>
      </rPr>
      <t>GALERIA EM AÇO</t>
    </r>
    <r>
      <rPr>
        <sz val="11"/>
        <color theme="1"/>
        <rFont val="Calibri"/>
        <family val="2"/>
        <scheme val="minor"/>
      </rPr>
      <t xml:space="preserve"> - 1,25² x 3,14 x 540 =                                                      2649,38 m³                                                   VOL. DE ESCAV. 32.373,11 - VOL. DO TUBO 2991,03 - VOL. DA GALERIA 2649,38 = 26.732,7 m³</t>
    </r>
  </si>
  <si>
    <t>CONSTRUÇÃO DE OBRAS DE ARTES NA ESTRADA TRANSGARIMPEIRA - Itaituba-Pa</t>
  </si>
  <si>
    <t>BDI:29,90%</t>
  </si>
  <si>
    <t>4.1.1</t>
  </si>
  <si>
    <t>4.1.2</t>
  </si>
  <si>
    <t>4.1.3</t>
  </si>
  <si>
    <t>4.1.4</t>
  </si>
  <si>
    <r>
      <t>125 und x 60,25 m x 12,00 m = 90</t>
    </r>
    <r>
      <rPr>
        <b/>
        <sz val="11"/>
        <color theme="1"/>
        <rFont val="Calibri"/>
        <family val="2"/>
        <scheme val="minor"/>
      </rPr>
      <t>.375,00 m³</t>
    </r>
  </si>
  <si>
    <r>
      <t xml:space="preserve">125 und x 60,25 m x 12,00 m x 0,1 m = </t>
    </r>
    <r>
      <rPr>
        <b/>
        <sz val="11"/>
        <color theme="1"/>
        <rFont val="Calibri"/>
        <family val="2"/>
        <scheme val="minor"/>
      </rPr>
      <t>9.037,50 m³</t>
    </r>
  </si>
  <si>
    <r>
      <t xml:space="preserve">125 und x 60,25 m x 12,00 m = </t>
    </r>
    <r>
      <rPr>
        <b/>
        <sz val="11"/>
        <color theme="1"/>
        <rFont val="Calibri"/>
        <family val="2"/>
        <scheme val="minor"/>
      </rPr>
      <t>90.375,00 m³</t>
    </r>
  </si>
  <si>
    <r>
      <t xml:space="preserve">125 und x 60,25,00 m x 12,00 m x 0,2 m = </t>
    </r>
    <r>
      <rPr>
        <b/>
        <sz val="11"/>
        <color theme="1"/>
        <rFont val="Calibri"/>
        <family val="2"/>
        <scheme val="minor"/>
      </rPr>
      <t>18.075,00 m³</t>
    </r>
  </si>
  <si>
    <r>
      <t>125 und x 60,25 m x 12,00 m x 0,1 x 1,25 x 3 = 33</t>
    </r>
    <r>
      <rPr>
        <b/>
        <sz val="11"/>
        <color theme="1"/>
        <rFont val="Calibri"/>
        <family val="2"/>
        <scheme val="minor"/>
      </rPr>
      <t>.885 m³/km</t>
    </r>
  </si>
  <si>
    <r>
      <t xml:space="preserve">125 und x 60,05 m x 12,00 m = </t>
    </r>
    <r>
      <rPr>
        <b/>
        <sz val="11"/>
        <color theme="1"/>
        <rFont val="Calibri"/>
        <family val="2"/>
        <scheme val="minor"/>
      </rPr>
      <t>90.083,89 m³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</si>
</sst>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0.0%"/>
  </numFmts>
  <fonts count="62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b/>
      <sz val="11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rgb="FF0061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</fills>
  <borders count="10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05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7" applyNumberFormat="0" applyAlignment="0" applyProtection="0"/>
    <xf numFmtId="0" fontId="25" fillId="25" borderId="47" applyNumberFormat="0" applyAlignment="0" applyProtection="0"/>
    <xf numFmtId="0" fontId="26" fillId="26" borderId="48" applyNumberFormat="0" applyAlignment="0" applyProtection="0"/>
    <xf numFmtId="0" fontId="27" fillId="0" borderId="49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7" applyNumberFormat="0" applyAlignment="0" applyProtection="0"/>
    <xf numFmtId="0" fontId="28" fillId="7" borderId="47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0" applyNumberFormat="0" applyAlignment="0" applyProtection="0"/>
    <xf numFmtId="0" fontId="30" fillId="23" borderId="51" applyNumberFormat="0" applyAlignment="0" applyProtection="0"/>
    <xf numFmtId="0" fontId="30" fillId="25" borderId="51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2" applyNumberFormat="0" applyFill="0" applyAlignment="0" applyProtection="0"/>
    <xf numFmtId="0" fontId="48" fillId="0" borderId="53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4" applyNumberFormat="0" applyFill="0" applyAlignment="0" applyProtection="0"/>
    <xf numFmtId="0" fontId="49" fillId="0" borderId="54" applyNumberFormat="0" applyFill="0" applyAlignment="0" applyProtection="0"/>
    <xf numFmtId="0" fontId="36" fillId="0" borderId="55" applyNumberFormat="0" applyFill="0" applyAlignment="0" applyProtection="0"/>
    <xf numFmtId="0" fontId="50" fillId="0" borderId="56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7" applyNumberFormat="0" applyFill="0" applyAlignment="0" applyProtection="0"/>
    <xf numFmtId="0" fontId="37" fillId="0" borderId="58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1" fillId="35" borderId="0" applyNumberFormat="0" applyBorder="0" applyAlignment="0" applyProtection="0"/>
    <xf numFmtId="164" fontId="6" fillId="0" borderId="0" applyFont="0" applyFill="0" applyBorder="0" applyAlignment="0" applyProtection="0"/>
  </cellStyleXfs>
  <cellXfs count="251">
    <xf numFmtId="0" fontId="0" fillId="0" borderId="0" xfId="0"/>
    <xf numFmtId="0" fontId="0" fillId="0" borderId="0" xfId="0" applyBorder="1"/>
    <xf numFmtId="4" fontId="0" fillId="0" borderId="0" xfId="0" applyNumberForma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/>
    </xf>
    <xf numFmtId="10" fontId="16" fillId="0" borderId="21" xfId="0" applyNumberFormat="1" applyFont="1" applyBorder="1" applyAlignment="1">
      <alignment horizontal="center"/>
    </xf>
    <xf numFmtId="10" fontId="17" fillId="3" borderId="22" xfId="0" applyNumberFormat="1" applyFont="1" applyFill="1" applyBorder="1" applyAlignment="1">
      <alignment horizontal="center" vertical="center"/>
    </xf>
    <xf numFmtId="10" fontId="17" fillId="3" borderId="23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/>
    </xf>
    <xf numFmtId="10" fontId="16" fillId="0" borderId="26" xfId="0" applyNumberFormat="1" applyFont="1" applyBorder="1" applyAlignment="1">
      <alignment horizontal="center"/>
    </xf>
    <xf numFmtId="10" fontId="17" fillId="3" borderId="27" xfId="0" applyNumberFormat="1" applyFont="1" applyFill="1" applyBorder="1" applyAlignment="1">
      <alignment horizontal="center" vertical="center"/>
    </xf>
    <xf numFmtId="10" fontId="17" fillId="3" borderId="28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/>
    </xf>
    <xf numFmtId="10" fontId="16" fillId="0" borderId="31" xfId="0" applyNumberFormat="1" applyFont="1" applyBorder="1" applyAlignment="1">
      <alignment horizontal="center"/>
    </xf>
    <xf numFmtId="10" fontId="17" fillId="3" borderId="32" xfId="0" applyNumberFormat="1" applyFont="1" applyFill="1" applyBorder="1" applyAlignment="1">
      <alignment horizontal="center" vertical="center"/>
    </xf>
    <xf numFmtId="10" fontId="17" fillId="3" borderId="33" xfId="0" applyNumberFormat="1" applyFont="1" applyFill="1" applyBorder="1" applyAlignment="1">
      <alignment horizontal="center" vertical="center"/>
    </xf>
    <xf numFmtId="0" fontId="16" fillId="0" borderId="20" xfId="0" applyFont="1" applyBorder="1" applyAlignment="1"/>
    <xf numFmtId="0" fontId="16" fillId="0" borderId="25" xfId="0" applyFont="1" applyBorder="1" applyAlignment="1"/>
    <xf numFmtId="10" fontId="16" fillId="0" borderId="35" xfId="0" applyNumberFormat="1" applyFont="1" applyBorder="1" applyAlignment="1">
      <alignment horizontal="center"/>
    </xf>
    <xf numFmtId="10" fontId="15" fillId="0" borderId="40" xfId="0" applyNumberFormat="1" applyFont="1" applyBorder="1" applyAlignment="1">
      <alignment horizontal="center"/>
    </xf>
    <xf numFmtId="10" fontId="15" fillId="0" borderId="16" xfId="0" applyNumberFormat="1" applyFont="1" applyBorder="1" applyAlignment="1">
      <alignment horizontal="center" vertical="center"/>
    </xf>
    <xf numFmtId="10" fontId="17" fillId="3" borderId="41" xfId="0" applyNumberFormat="1" applyFont="1" applyFill="1" applyBorder="1" applyAlignment="1">
      <alignment horizontal="center" vertical="center"/>
    </xf>
    <xf numFmtId="10" fontId="17" fillId="3" borderId="42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4" xfId="0" applyFont="1" applyBorder="1" applyAlignment="1"/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1" fontId="38" fillId="0" borderId="7" xfId="1" applyNumberFormat="1" applyFont="1" applyFill="1" applyBorder="1" applyAlignment="1">
      <alignment vertical="top"/>
    </xf>
    <xf numFmtId="1" fontId="38" fillId="0" borderId="61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0" fontId="0" fillId="0" borderId="1" xfId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0" fontId="55" fillId="33" borderId="1" xfId="56" applyFont="1" applyFill="1" applyBorder="1" applyAlignment="1">
      <alignment horizontal="left" vertical="top" wrapText="1"/>
    </xf>
    <xf numFmtId="43" fontId="55" fillId="33" borderId="8" xfId="56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vertical="center" wrapText="1"/>
    </xf>
    <xf numFmtId="0" fontId="22" fillId="0" borderId="8" xfId="56" applyNumberFormat="1" applyFont="1" applyBorder="1" applyAlignment="1">
      <alignment horizontal="center" vertical="center"/>
    </xf>
    <xf numFmtId="0" fontId="16" fillId="0" borderId="80" xfId="0" applyFont="1" applyBorder="1" applyAlignment="1">
      <alignment horizontal="center"/>
    </xf>
    <xf numFmtId="10" fontId="57" fillId="0" borderId="78" xfId="0" applyNumberFormat="1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0" fillId="0" borderId="76" xfId="0" applyNumberFormat="1" applyBorder="1" applyAlignment="1">
      <alignment horizontal="center" vertical="center"/>
    </xf>
    <xf numFmtId="43" fontId="0" fillId="0" borderId="0" xfId="0" applyNumberFormat="1" applyBorder="1" applyAlignment="1">
      <alignment horizontal="center" vertical="center"/>
    </xf>
    <xf numFmtId="43" fontId="0" fillId="0" borderId="76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0" fontId="58" fillId="0" borderId="0" xfId="0" applyFont="1"/>
    <xf numFmtId="43" fontId="0" fillId="0" borderId="0" xfId="0" applyNumberFormat="1"/>
    <xf numFmtId="0" fontId="55" fillId="33" borderId="1" xfId="56" applyFont="1" applyFill="1" applyBorder="1" applyAlignment="1">
      <alignment horizontal="left" vertical="center" wrapText="1"/>
    </xf>
    <xf numFmtId="4" fontId="22" fillId="0" borderId="8" xfId="56" applyNumberFormat="1" applyFont="1" applyBorder="1" applyAlignment="1">
      <alignment horizontal="center" vertical="center"/>
    </xf>
    <xf numFmtId="2" fontId="0" fillId="0" borderId="0" xfId="101" applyNumberFormat="1" applyFont="1"/>
    <xf numFmtId="2" fontId="0" fillId="0" borderId="0" xfId="101" applyNumberFormat="1" applyFont="1" applyFill="1" applyBorder="1"/>
    <xf numFmtId="0" fontId="22" fillId="0" borderId="83" xfId="56" applyNumberFormat="1" applyFont="1" applyFill="1" applyBorder="1" applyAlignment="1">
      <alignment horizontal="center" vertical="center"/>
    </xf>
    <xf numFmtId="2" fontId="0" fillId="0" borderId="0" xfId="0" applyNumberFormat="1"/>
    <xf numFmtId="2" fontId="22" fillId="0" borderId="8" xfId="56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10" fontId="0" fillId="0" borderId="0" xfId="0" applyNumberFormat="1"/>
    <xf numFmtId="4" fontId="9" fillId="33" borderId="7" xfId="56" applyNumberFormat="1" applyFont="1" applyFill="1" applyBorder="1" applyAlignment="1">
      <alignment vertical="center" wrapText="1"/>
    </xf>
    <xf numFmtId="4" fontId="9" fillId="33" borderId="8" xfId="56" applyNumberFormat="1" applyFont="1" applyFill="1" applyBorder="1" applyAlignment="1">
      <alignment vertical="center" wrapText="1"/>
    </xf>
    <xf numFmtId="167" fontId="53" fillId="0" borderId="94" xfId="7" applyFont="1" applyFill="1" applyBorder="1" applyAlignment="1">
      <alignment horizontal="center" vertical="center" wrapText="1"/>
    </xf>
    <xf numFmtId="0" fontId="53" fillId="0" borderId="95" xfId="7" applyNumberFormat="1" applyFont="1" applyFill="1" applyBorder="1" applyAlignment="1">
      <alignment horizontal="center" vertical="center" wrapText="1"/>
    </xf>
    <xf numFmtId="10" fontId="39" fillId="0" borderId="94" xfId="6" applyNumberFormat="1" applyFont="1" applyBorder="1" applyAlignment="1">
      <alignment vertical="center"/>
    </xf>
    <xf numFmtId="164" fontId="39" fillId="0" borderId="96" xfId="58" applyNumberFormat="1" applyFont="1" applyBorder="1" applyAlignment="1">
      <alignment vertical="center"/>
    </xf>
    <xf numFmtId="164" fontId="38" fillId="0" borderId="97" xfId="58" applyNumberFormat="1" applyFont="1" applyBorder="1" applyAlignment="1">
      <alignment vertical="top"/>
    </xf>
    <xf numFmtId="10" fontId="39" fillId="0" borderId="97" xfId="58" applyNumberFormat="1" applyFont="1" applyBorder="1" applyAlignment="1">
      <alignment vertical="top"/>
    </xf>
    <xf numFmtId="164" fontId="38" fillId="0" borderId="78" xfId="58" applyNumberFormat="1" applyFont="1" applyBorder="1" applyAlignment="1">
      <alignment vertical="top"/>
    </xf>
    <xf numFmtId="10" fontId="39" fillId="0" borderId="96" xfId="58" applyNumberFormat="1" applyFont="1" applyBorder="1" applyAlignment="1">
      <alignment vertical="top"/>
    </xf>
    <xf numFmtId="164" fontId="38" fillId="0" borderId="94" xfId="58" applyNumberFormat="1" applyFont="1" applyBorder="1" applyAlignment="1">
      <alignment vertical="top"/>
    </xf>
    <xf numFmtId="10" fontId="40" fillId="0" borderId="2" xfId="58" applyNumberFormat="1" applyFont="1" applyBorder="1" applyAlignment="1">
      <alignment horizontal="center" vertical="center"/>
    </xf>
    <xf numFmtId="173" fontId="39" fillId="0" borderId="94" xfId="6" applyNumberFormat="1" applyFont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9" fontId="0" fillId="0" borderId="1" xfId="102" applyNumberFormat="1" applyFont="1" applyFill="1" applyBorder="1" applyAlignment="1" applyProtection="1">
      <alignment horizontal="center" vertical="center" wrapText="1" shrinkToFit="1"/>
      <protection locked="0"/>
    </xf>
    <xf numFmtId="0" fontId="22" fillId="0" borderId="0" xfId="56" applyNumberFormat="1" applyFont="1" applyBorder="1" applyAlignment="1">
      <alignment horizontal="center" vertical="center"/>
    </xf>
    <xf numFmtId="0" fontId="22" fillId="0" borderId="0" xfId="56" applyNumberFormat="1" applyFont="1" applyFill="1" applyBorder="1" applyAlignment="1">
      <alignment horizontal="center" vertical="center"/>
    </xf>
    <xf numFmtId="0" fontId="61" fillId="35" borderId="0" xfId="103"/>
    <xf numFmtId="164" fontId="38" fillId="0" borderId="97" xfId="58" applyNumberFormat="1" applyFont="1" applyBorder="1" applyAlignment="1">
      <alignment horizontal="left" vertical="top" indent="1"/>
    </xf>
    <xf numFmtId="173" fontId="0" fillId="0" borderId="0" xfId="0" applyNumberFormat="1" applyAlignment="1">
      <alignment horizontal="right"/>
    </xf>
    <xf numFmtId="4" fontId="0" fillId="0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0" xfId="104" applyFont="1"/>
    <xf numFmtId="164" fontId="0" fillId="0" borderId="0" xfId="0" applyNumberFormat="1"/>
    <xf numFmtId="0" fontId="0" fillId="0" borderId="28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3" xfId="7" applyFont="1" applyFill="1" applyBorder="1" applyAlignment="1">
      <alignment horizontal="center" vertical="center" wrapText="1"/>
    </xf>
    <xf numFmtId="167" fontId="52" fillId="0" borderId="64" xfId="7" applyFont="1" applyFill="1" applyBorder="1" applyAlignment="1">
      <alignment horizontal="center" vertical="center" wrapText="1"/>
    </xf>
    <xf numFmtId="0" fontId="52" fillId="0" borderId="5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7" xfId="7" applyFont="1" applyFill="1" applyBorder="1" applyAlignment="1">
      <alignment horizontal="center" vertical="center" wrapText="1"/>
    </xf>
    <xf numFmtId="167" fontId="52" fillId="0" borderId="8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8" xfId="56" applyFont="1" applyFill="1" applyBorder="1" applyAlignment="1">
      <alignment horizontal="center" vertical="top" wrapText="1"/>
    </xf>
    <xf numFmtId="0" fontId="43" fillId="34" borderId="9" xfId="64" applyFont="1" applyFill="1" applyBorder="1" applyAlignment="1">
      <alignment horizontal="center" vertical="center"/>
    </xf>
    <xf numFmtId="0" fontId="43" fillId="34" borderId="65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7" xfId="56" applyFont="1" applyFill="1" applyBorder="1" applyAlignment="1">
      <alignment horizontal="center" vertical="center" wrapText="1"/>
    </xf>
    <xf numFmtId="0" fontId="51" fillId="0" borderId="8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1" xfId="101" applyNumberFormat="1" applyFont="1" applyBorder="1" applyAlignment="1">
      <alignment horizontal="center" vertical="center" wrapText="1"/>
    </xf>
    <xf numFmtId="172" fontId="3" fillId="0" borderId="74" xfId="0" applyNumberFormat="1" applyFont="1" applyBorder="1" applyAlignment="1">
      <alignment horizontal="center" vertical="center" wrapText="1"/>
    </xf>
    <xf numFmtId="172" fontId="3" fillId="0" borderId="75" xfId="0" applyNumberFormat="1" applyFont="1" applyBorder="1" applyAlignment="1">
      <alignment horizontal="center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wrapText="1"/>
    </xf>
    <xf numFmtId="0" fontId="2" fillId="0" borderId="69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3" fillId="0" borderId="6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top" wrapText="1"/>
    </xf>
    <xf numFmtId="0" fontId="55" fillId="33" borderId="7" xfId="56" applyFont="1" applyFill="1" applyBorder="1" applyAlignment="1">
      <alignment horizontal="left" vertical="top" wrapText="1"/>
    </xf>
    <xf numFmtId="0" fontId="55" fillId="33" borderId="8" xfId="56" applyFont="1" applyFill="1" applyBorder="1" applyAlignment="1">
      <alignment horizontal="left" vertical="top" wrapText="1"/>
    </xf>
    <xf numFmtId="0" fontId="9" fillId="33" borderId="2" xfId="56" applyFont="1" applyFill="1" applyBorder="1" applyAlignment="1">
      <alignment horizontal="left" vertical="top" wrapText="1"/>
    </xf>
    <xf numFmtId="0" fontId="9" fillId="33" borderId="7" xfId="56" applyFont="1" applyFill="1" applyBorder="1" applyAlignment="1">
      <alignment horizontal="left" vertical="top" wrapText="1"/>
    </xf>
    <xf numFmtId="0" fontId="9" fillId="33" borderId="8" xfId="56" applyFont="1" applyFill="1" applyBorder="1" applyAlignment="1">
      <alignment horizontal="left" vertical="top" wrapText="1"/>
    </xf>
    <xf numFmtId="0" fontId="56" fillId="0" borderId="84" xfId="0" applyFont="1" applyBorder="1" applyAlignment="1">
      <alignment horizontal="center" vertical="center" wrapText="1"/>
    </xf>
    <xf numFmtId="0" fontId="56" fillId="0" borderId="8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3" fillId="0" borderId="99" xfId="0" applyFont="1" applyBorder="1" applyAlignment="1">
      <alignment horizontal="left" vertical="center" wrapText="1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2" fillId="0" borderId="98" xfId="0" applyFont="1" applyBorder="1" applyAlignment="1">
      <alignment horizontal="left" vertical="center" wrapText="1"/>
    </xf>
    <xf numFmtId="0" fontId="2" fillId="0" borderId="86" xfId="0" applyFont="1" applyBorder="1" applyAlignment="1">
      <alignment horizontal="left" vertical="center" wrapText="1"/>
    </xf>
    <xf numFmtId="0" fontId="2" fillId="0" borderId="8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39" fillId="0" borderId="27" xfId="95" applyNumberFormat="1" applyFont="1" applyBorder="1" applyAlignment="1">
      <alignment horizontal="center" vertical="center"/>
    </xf>
    <xf numFmtId="0" fontId="39" fillId="0" borderId="27" xfId="95" applyFont="1" applyBorder="1" applyAlignment="1">
      <alignment horizontal="center" vertical="center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3" fillId="0" borderId="10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1" xfId="0" applyFont="1" applyBorder="1" applyAlignment="1">
      <alignment horizontal="left" vertical="center"/>
    </xf>
    <xf numFmtId="4" fontId="3" fillId="0" borderId="100" xfId="0" applyNumberFormat="1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left" vertical="center" wrapText="1"/>
    </xf>
    <xf numFmtId="4" fontId="3" fillId="0" borderId="81" xfId="0" applyNumberFormat="1" applyFont="1" applyBorder="1" applyAlignment="1">
      <alignment horizontal="left" vertical="center" wrapText="1"/>
    </xf>
    <xf numFmtId="10" fontId="44" fillId="32" borderId="2" xfId="6" applyNumberFormat="1" applyFont="1" applyFill="1" applyBorder="1" applyAlignment="1">
      <alignment horizontal="center" vertical="center" wrapText="1"/>
    </xf>
    <xf numFmtId="0" fontId="53" fillId="0" borderId="4" xfId="4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167" fontId="53" fillId="0" borderId="9" xfId="7" applyFont="1" applyFill="1" applyBorder="1" applyAlignment="1">
      <alignment horizontal="center" vertical="center" wrapText="1"/>
    </xf>
    <xf numFmtId="167" fontId="53" fillId="0" borderId="2" xfId="7" applyFont="1" applyFill="1" applyBorder="1" applyAlignment="1">
      <alignment horizontal="center" vertical="center" wrapText="1"/>
    </xf>
    <xf numFmtId="0" fontId="53" fillId="0" borderId="22" xfId="4" applyFont="1" applyFill="1" applyBorder="1" applyAlignment="1">
      <alignment horizontal="center" vertical="center" wrapText="1"/>
    </xf>
    <xf numFmtId="0" fontId="53" fillId="0" borderId="27" xfId="4" applyFont="1" applyFill="1" applyBorder="1" applyAlignment="1">
      <alignment horizontal="center" vertical="center" wrapText="1"/>
    </xf>
    <xf numFmtId="0" fontId="45" fillId="0" borderId="93" xfId="4" applyFont="1" applyBorder="1" applyAlignment="1">
      <alignment horizontal="center" vertical="center"/>
    </xf>
    <xf numFmtId="0" fontId="45" fillId="0" borderId="88" xfId="4" applyFont="1" applyBorder="1" applyAlignment="1">
      <alignment horizontal="center" vertical="center"/>
    </xf>
    <xf numFmtId="0" fontId="45" fillId="0" borderId="89" xfId="4" applyFont="1" applyBorder="1" applyAlignment="1">
      <alignment horizontal="center" vertical="center"/>
    </xf>
    <xf numFmtId="0" fontId="45" fillId="0" borderId="45" xfId="4" applyFont="1" applyBorder="1" applyAlignment="1">
      <alignment horizontal="center" vertical="center"/>
    </xf>
    <xf numFmtId="0" fontId="45" fillId="0" borderId="11" xfId="4" applyFont="1" applyBorder="1" applyAlignment="1">
      <alignment horizontal="center" vertical="center"/>
    </xf>
    <xf numFmtId="0" fontId="45" fillId="0" borderId="43" xfId="4" applyFont="1" applyBorder="1" applyAlignment="1">
      <alignment horizontal="center" vertical="center"/>
    </xf>
    <xf numFmtId="0" fontId="39" fillId="0" borderId="14" xfId="95" applyFont="1" applyBorder="1" applyAlignment="1">
      <alignment horizontal="center" vertical="center"/>
    </xf>
    <xf numFmtId="0" fontId="39" fillId="0" borderId="34" xfId="95" applyFont="1" applyBorder="1" applyAlignment="1">
      <alignment horizontal="center" vertical="center"/>
    </xf>
    <xf numFmtId="0" fontId="39" fillId="0" borderId="15" xfId="95" applyFont="1" applyBorder="1" applyAlignment="1">
      <alignment horizontal="center" vertical="center"/>
    </xf>
    <xf numFmtId="0" fontId="44" fillId="0" borderId="88" xfId="4" applyFont="1" applyBorder="1" applyAlignment="1">
      <alignment horizontal="center"/>
    </xf>
    <xf numFmtId="0" fontId="44" fillId="0" borderId="0" xfId="4" applyFont="1" applyAlignment="1">
      <alignment horizontal="center"/>
    </xf>
    <xf numFmtId="0" fontId="0" fillId="0" borderId="11" xfId="0" applyBorder="1" applyAlignment="1">
      <alignment horizontal="center"/>
    </xf>
    <xf numFmtId="0" fontId="43" fillId="34" borderId="91" xfId="64" applyFont="1" applyFill="1" applyBorder="1" applyAlignment="1">
      <alignment horizontal="center" vertical="center"/>
    </xf>
    <xf numFmtId="0" fontId="43" fillId="34" borderId="90" xfId="64" applyFont="1" applyFill="1" applyBorder="1" applyAlignment="1">
      <alignment horizontal="center" vertical="center"/>
    </xf>
    <xf numFmtId="0" fontId="43" fillId="34" borderId="92" xfId="64" applyFont="1" applyFill="1" applyBorder="1" applyAlignment="1">
      <alignment horizontal="center" vertical="center"/>
    </xf>
    <xf numFmtId="0" fontId="38" fillId="0" borderId="27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1" fontId="38" fillId="0" borderId="59" xfId="1" applyNumberFormat="1" applyFont="1" applyFill="1" applyBorder="1" applyAlignment="1">
      <alignment horizontal="center" vertical="top"/>
    </xf>
    <xf numFmtId="1" fontId="38" fillId="0" borderId="7" xfId="1" applyNumberFormat="1" applyFont="1" applyFill="1" applyBorder="1" applyAlignment="1">
      <alignment horizontal="center" vertical="top"/>
    </xf>
    <xf numFmtId="1" fontId="38" fillId="0" borderId="60" xfId="1" applyNumberFormat="1" applyFont="1" applyFill="1" applyBorder="1" applyAlignment="1">
      <alignment horizontal="center" vertical="top"/>
    </xf>
    <xf numFmtId="1" fontId="38" fillId="0" borderId="61" xfId="1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left" vertical="center" wrapText="1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6" fillId="0" borderId="19" xfId="0" applyFont="1" applyBorder="1" applyAlignment="1">
      <alignment horizontal="left"/>
    </xf>
    <xf numFmtId="0" fontId="16" fillId="0" borderId="20" xfId="0" applyFont="1" applyBorder="1" applyAlignment="1">
      <alignment horizontal="left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0" fontId="16" fillId="0" borderId="25" xfId="0" applyFont="1" applyBorder="1" applyAlignment="1">
      <alignment horizontal="left"/>
    </xf>
    <xf numFmtId="0" fontId="16" fillId="0" borderId="29" xfId="0" applyFont="1" applyBorder="1" applyAlignment="1">
      <alignment horizontal="left"/>
    </xf>
    <xf numFmtId="0" fontId="16" fillId="0" borderId="30" xfId="0" applyFont="1" applyBorder="1" applyAlignment="1">
      <alignment horizontal="left"/>
    </xf>
    <xf numFmtId="0" fontId="12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6" fillId="0" borderId="79" xfId="0" applyFont="1" applyBorder="1" applyAlignment="1">
      <alignment horizontal="left"/>
    </xf>
    <xf numFmtId="0" fontId="16" fillId="0" borderId="80" xfId="0" applyFont="1" applyBorder="1" applyAlignment="1">
      <alignment horizontal="left"/>
    </xf>
    <xf numFmtId="0" fontId="16" fillId="0" borderId="36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10" fontId="19" fillId="3" borderId="37" xfId="0" applyNumberFormat="1" applyFont="1" applyFill="1" applyBorder="1" applyAlignment="1">
      <alignment horizontal="center" vertical="center"/>
    </xf>
    <xf numFmtId="10" fontId="19" fillId="3" borderId="38" xfId="0" applyNumberFormat="1" applyFont="1" applyFill="1" applyBorder="1" applyAlignment="1">
      <alignment horizontal="center" vertical="center"/>
    </xf>
    <xf numFmtId="0" fontId="16" fillId="0" borderId="45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left" vertical="center" wrapText="1"/>
    </xf>
    <xf numFmtId="0" fontId="16" fillId="0" borderId="34" xfId="0" applyFont="1" applyBorder="1" applyAlignment="1">
      <alignment horizontal="center"/>
    </xf>
    <xf numFmtId="10" fontId="18" fillId="0" borderId="34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left"/>
    </xf>
    <xf numFmtId="0" fontId="15" fillId="0" borderId="34" xfId="0" applyFont="1" applyBorder="1" applyAlignment="1">
      <alignment horizontal="left"/>
    </xf>
    <xf numFmtId="0" fontId="15" fillId="0" borderId="15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05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" xfId="103" builtinId="26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" xfId="104" builtinId="4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1693334</xdr:colOff>
      <xdr:row>0</xdr:row>
      <xdr:rowOff>157592</xdr:rowOff>
    </xdr:from>
    <xdr:to>
      <xdr:col>5</xdr:col>
      <xdr:colOff>8469</xdr:colOff>
      <xdr:row>5</xdr:row>
      <xdr:rowOff>174487</xdr:rowOff>
    </xdr:to>
    <xdr:sp macro="" textlink="">
      <xdr:nvSpPr>
        <xdr:cNvPr id="2" name="CaixaDeTexto 1"/>
        <xdr:cNvSpPr txBox="1"/>
      </xdr:nvSpPr>
      <xdr:spPr bwMode="auto">
        <a:xfrm>
          <a:off x="2438401" y="157592"/>
          <a:ext cx="5791201" cy="11006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369047</xdr:colOff>
      <xdr:row>69</xdr:row>
      <xdr:rowOff>55034</xdr:rowOff>
    </xdr:from>
    <xdr:to>
      <xdr:col>7</xdr:col>
      <xdr:colOff>826369</xdr:colOff>
      <xdr:row>71</xdr:row>
      <xdr:rowOff>35424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7709647" y="27156834"/>
          <a:ext cx="3344455" cy="352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>
    <xdr:from>
      <xdr:col>1</xdr:col>
      <xdr:colOff>2155825</xdr:colOff>
      <xdr:row>75</xdr:row>
      <xdr:rowOff>90344</xdr:rowOff>
    </xdr:from>
    <xdr:to>
      <xdr:col>4</xdr:col>
      <xdr:colOff>811022</xdr:colOff>
      <xdr:row>78</xdr:row>
      <xdr:rowOff>143890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2900892" y="32610811"/>
          <a:ext cx="5250730" cy="6123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203199</xdr:colOff>
      <xdr:row>0</xdr:row>
      <xdr:rowOff>147804</xdr:rowOff>
    </xdr:from>
    <xdr:to>
      <xdr:col>1</xdr:col>
      <xdr:colOff>313266</xdr:colOff>
      <xdr:row>5</xdr:row>
      <xdr:rowOff>75344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199" y="147804"/>
          <a:ext cx="855134" cy="10112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750925</xdr:colOff>
      <xdr:row>0</xdr:row>
      <xdr:rowOff>82247</xdr:rowOff>
    </xdr:from>
    <xdr:to>
      <xdr:col>7</xdr:col>
      <xdr:colOff>918836</xdr:colOff>
      <xdr:row>5</xdr:row>
      <xdr:rowOff>79644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4192" y="82247"/>
          <a:ext cx="1192377" cy="10811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/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66</xdr:row>
      <xdr:rowOff>57150</xdr:rowOff>
    </xdr:from>
    <xdr:to>
      <xdr:col>3</xdr:col>
      <xdr:colOff>180975</xdr:colOff>
      <xdr:row>69</xdr:row>
      <xdr:rowOff>110696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228600</xdr:colOff>
      <xdr:row>62</xdr:row>
      <xdr:rowOff>133350</xdr:rowOff>
    </xdr:from>
    <xdr:to>
      <xdr:col>5</xdr:col>
      <xdr:colOff>23405</xdr:colOff>
      <xdr:row>64</xdr:row>
      <xdr:rowOff>113740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4438650" y="48148875"/>
          <a:ext cx="3261905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de 2022 </a:t>
          </a:r>
        </a:p>
      </xdr:txBody>
    </xdr:sp>
    <xdr:clientData/>
  </xdr:twoCellAnchor>
  <xdr:twoCellAnchor editAs="oneCell">
    <xdr:from>
      <xdr:col>0</xdr:col>
      <xdr:colOff>169335</xdr:colOff>
      <xdr:row>0</xdr:row>
      <xdr:rowOff>84710</xdr:rowOff>
    </xdr:from>
    <xdr:to>
      <xdr:col>1</xdr:col>
      <xdr:colOff>270936</xdr:colOff>
      <xdr:row>4</xdr:row>
      <xdr:rowOff>135350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5" y="84710"/>
          <a:ext cx="787401" cy="93117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1301263</xdr:colOff>
      <xdr:row>0</xdr:row>
      <xdr:rowOff>80495</xdr:rowOff>
    </xdr:from>
    <xdr:to>
      <xdr:col>4</xdr:col>
      <xdr:colOff>2399194</xdr:colOff>
      <xdr:row>4</xdr:row>
      <xdr:rowOff>195457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8796" y="80495"/>
          <a:ext cx="1097931" cy="995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91738</xdr:colOff>
      <xdr:row>0</xdr:row>
      <xdr:rowOff>121609</xdr:rowOff>
    </xdr:from>
    <xdr:to>
      <xdr:col>9</xdr:col>
      <xdr:colOff>936405</xdr:colOff>
      <xdr:row>5</xdr:row>
      <xdr:rowOff>138504</xdr:rowOff>
    </xdr:to>
    <xdr:sp macro="" textlink="">
      <xdr:nvSpPr>
        <xdr:cNvPr id="2" name="CaixaDeTexto 1"/>
        <xdr:cNvSpPr txBox="1"/>
      </xdr:nvSpPr>
      <xdr:spPr bwMode="auto">
        <a:xfrm>
          <a:off x="3453503" y="121609"/>
          <a:ext cx="9181843" cy="10119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9</xdr:col>
      <xdr:colOff>371288</xdr:colOff>
      <xdr:row>29</xdr:row>
      <xdr:rowOff>73337</xdr:rowOff>
    </xdr:from>
    <xdr:to>
      <xdr:col>11</xdr:col>
      <xdr:colOff>1166778</xdr:colOff>
      <xdr:row>31</xdr:row>
      <xdr:rowOff>64933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12070229" y="6303808"/>
          <a:ext cx="3556620" cy="350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08 de Junho 2022</a:t>
          </a:r>
        </a:p>
      </xdr:txBody>
    </xdr:sp>
    <xdr:clientData/>
  </xdr:twoCellAnchor>
  <xdr:twoCellAnchor>
    <xdr:from>
      <xdr:col>4</xdr:col>
      <xdr:colOff>815166</xdr:colOff>
      <xdr:row>31</xdr:row>
      <xdr:rowOff>61882</xdr:rowOff>
    </xdr:from>
    <xdr:to>
      <xdr:col>6</xdr:col>
      <xdr:colOff>1247650</xdr:colOff>
      <xdr:row>34</xdr:row>
      <xdr:rowOff>115428</xdr:rowOff>
    </xdr:to>
    <xdr:sp macro="" textlink="">
      <xdr:nvSpPr>
        <xdr:cNvPr id="8" name="Text Box 8"/>
        <xdr:cNvSpPr txBox="1">
          <a:spLocks noChangeArrowheads="1"/>
        </xdr:cNvSpPr>
      </xdr:nvSpPr>
      <xdr:spPr bwMode="auto">
        <a:xfrm>
          <a:off x="6274672" y="6650941"/>
          <a:ext cx="2843990" cy="591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197223</xdr:colOff>
      <xdr:row>0</xdr:row>
      <xdr:rowOff>106541</xdr:rowOff>
    </xdr:from>
    <xdr:to>
      <xdr:col>1</xdr:col>
      <xdr:colOff>304799</xdr:colOff>
      <xdr:row>5</xdr:row>
      <xdr:rowOff>12592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106541"/>
          <a:ext cx="762000" cy="90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12334</xdr:colOff>
      <xdr:row>0</xdr:row>
      <xdr:rowOff>127780</xdr:rowOff>
    </xdr:from>
    <xdr:to>
      <xdr:col>11</xdr:col>
      <xdr:colOff>1074847</xdr:colOff>
      <xdr:row>5</xdr:row>
      <xdr:rowOff>96080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95134" y="127780"/>
          <a:ext cx="1062513" cy="963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/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26</xdr:row>
      <xdr:rowOff>57150</xdr:rowOff>
    </xdr:from>
    <xdr:to>
      <xdr:col>7</xdr:col>
      <xdr:colOff>18174</xdr:colOff>
      <xdr:row>28</xdr:row>
      <xdr:rowOff>11329</xdr:rowOff>
    </xdr:to>
    <xdr:sp macro="" textlink="">
      <xdr:nvSpPr>
        <xdr:cNvPr id="11" name="Text Box 54">
          <a:extLst/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08 de Junho de 2022</a:t>
          </a:r>
        </a:p>
      </xdr:txBody>
    </xdr:sp>
    <xdr:clientData/>
  </xdr:twoCellAnchor>
  <xdr:twoCellAnchor>
    <xdr:from>
      <xdr:col>0</xdr:col>
      <xdr:colOff>502228</xdr:colOff>
      <xdr:row>31</xdr:row>
      <xdr:rowOff>147204</xdr:rowOff>
    </xdr:from>
    <xdr:to>
      <xdr:col>3</xdr:col>
      <xdr:colOff>127915</xdr:colOff>
      <xdr:row>35</xdr:row>
      <xdr:rowOff>10250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 smtClean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 smtClean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124689</xdr:colOff>
      <xdr:row>0</xdr:row>
      <xdr:rowOff>116378</xdr:rowOff>
    </xdr:from>
    <xdr:to>
      <xdr:col>0</xdr:col>
      <xdr:colOff>810489</xdr:colOff>
      <xdr:row>3</xdr:row>
      <xdr:rowOff>179253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89" y="116378"/>
          <a:ext cx="685800" cy="811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671647</xdr:colOff>
      <xdr:row>0</xdr:row>
      <xdr:rowOff>90054</xdr:rowOff>
    </xdr:from>
    <xdr:to>
      <xdr:col>6</xdr:col>
      <xdr:colOff>803563</xdr:colOff>
      <xdr:row>3</xdr:row>
      <xdr:rowOff>208953</xdr:rowOff>
    </xdr:to>
    <xdr:pic>
      <xdr:nvPicPr>
        <xdr:cNvPr id="13" name="Imagem 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1683" y="90054"/>
          <a:ext cx="956262" cy="867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view="pageBreakPreview" zoomScale="90" zoomScaleNormal="90" zoomScaleSheetLayoutView="90" workbookViewId="0">
      <selection activeCell="I51" sqref="I51"/>
    </sheetView>
  </sheetViews>
  <sheetFormatPr defaultRowHeight="15"/>
  <cols>
    <col min="1" max="1" width="10.85546875" customWidth="1"/>
    <col min="2" max="2" width="68.140625" customWidth="1"/>
    <col min="3" max="3" width="15.285156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6.42578125" customWidth="1"/>
    <col min="10" max="10" width="22.140625" customWidth="1"/>
    <col min="13" max="13" width="13.7109375" bestFit="1" customWidth="1"/>
  </cols>
  <sheetData>
    <row r="1" spans="1:10" ht="15" customHeight="1">
      <c r="A1" s="140"/>
      <c r="B1" s="140"/>
      <c r="C1" s="140"/>
      <c r="D1" s="140"/>
      <c r="E1" s="140"/>
      <c r="F1" s="140"/>
      <c r="G1" s="140"/>
      <c r="H1" s="140"/>
    </row>
    <row r="2" spans="1:10" ht="15" customHeight="1">
      <c r="A2" s="140"/>
      <c r="B2" s="140"/>
      <c r="C2" s="140"/>
      <c r="D2" s="140"/>
      <c r="E2" s="140"/>
      <c r="F2" s="140"/>
      <c r="G2" s="140"/>
      <c r="H2" s="140"/>
    </row>
    <row r="3" spans="1:10" ht="15" customHeight="1">
      <c r="A3" s="140"/>
      <c r="B3" s="140"/>
      <c r="C3" s="140"/>
      <c r="D3" s="140"/>
      <c r="E3" s="140"/>
      <c r="F3" s="140"/>
      <c r="G3" s="140"/>
      <c r="H3" s="140"/>
    </row>
    <row r="4" spans="1:10" ht="15" customHeight="1">
      <c r="A4" s="140"/>
      <c r="B4" s="140"/>
      <c r="C4" s="140"/>
      <c r="D4" s="140"/>
      <c r="E4" s="140"/>
      <c r="F4" s="140"/>
      <c r="G4" s="140"/>
      <c r="H4" s="140"/>
    </row>
    <row r="5" spans="1:10" ht="24" customHeight="1">
      <c r="A5" s="140"/>
      <c r="B5" s="140"/>
      <c r="C5" s="140"/>
      <c r="D5" s="140"/>
      <c r="E5" s="140"/>
      <c r="F5" s="140"/>
      <c r="G5" s="140"/>
      <c r="H5" s="140"/>
    </row>
    <row r="6" spans="1:10" ht="23.25" customHeight="1" thickBot="1">
      <c r="A6" s="141"/>
      <c r="B6" s="141"/>
      <c r="C6" s="141"/>
      <c r="D6" s="141"/>
      <c r="E6" s="141"/>
      <c r="F6" s="141"/>
      <c r="G6" s="141"/>
      <c r="H6" s="141"/>
    </row>
    <row r="7" spans="1:10" ht="28.5" customHeight="1" thickTop="1">
      <c r="A7" s="148" t="s">
        <v>158</v>
      </c>
      <c r="B7" s="149"/>
      <c r="C7" s="149"/>
      <c r="D7" s="152" t="s">
        <v>210</v>
      </c>
      <c r="E7" s="153"/>
      <c r="F7" s="153"/>
      <c r="G7" s="166" t="s">
        <v>217</v>
      </c>
      <c r="H7" s="167"/>
      <c r="I7">
        <v>1.2989999999999999</v>
      </c>
    </row>
    <row r="8" spans="1:10" ht="36.6" customHeight="1">
      <c r="A8" s="146" t="s">
        <v>174</v>
      </c>
      <c r="B8" s="147"/>
      <c r="C8" s="147"/>
      <c r="D8" s="154" t="s">
        <v>207</v>
      </c>
      <c r="E8" s="155"/>
      <c r="F8" s="156"/>
      <c r="G8" s="142" t="s">
        <v>77</v>
      </c>
      <c r="H8" s="143"/>
      <c r="I8">
        <v>14433365.130000001</v>
      </c>
      <c r="J8" s="117"/>
    </row>
    <row r="9" spans="1:10" ht="42" customHeight="1" thickBot="1">
      <c r="A9" s="150" t="s">
        <v>157</v>
      </c>
      <c r="B9" s="151"/>
      <c r="C9" s="151"/>
      <c r="D9" s="157"/>
      <c r="E9" s="158"/>
      <c r="F9" s="159"/>
      <c r="G9" s="144">
        <f>H14+H16+H27+H50</f>
        <v>14433365.130000003</v>
      </c>
      <c r="H9" s="145"/>
      <c r="I9" s="2">
        <f>H14+H16+H27+H50</f>
        <v>14433365.130000003</v>
      </c>
      <c r="J9" s="118">
        <f>I9-I8</f>
        <v>0</v>
      </c>
    </row>
    <row r="10" spans="1:10" ht="15.75" thickTop="1">
      <c r="A10" s="135"/>
      <c r="B10" s="136"/>
      <c r="C10" s="136"/>
      <c r="D10" s="136"/>
      <c r="E10" s="136"/>
      <c r="F10" s="136"/>
      <c r="G10" s="136"/>
      <c r="H10" s="136"/>
    </row>
    <row r="11" spans="1:10" ht="33.75" customHeight="1">
      <c r="A11" s="127" t="s">
        <v>1</v>
      </c>
      <c r="B11" s="123" t="s">
        <v>40</v>
      </c>
      <c r="C11" s="127" t="s">
        <v>54</v>
      </c>
      <c r="D11" s="123" t="s">
        <v>41</v>
      </c>
      <c r="E11" s="125" t="s">
        <v>42</v>
      </c>
      <c r="F11" s="130" t="s">
        <v>3</v>
      </c>
      <c r="G11" s="131"/>
      <c r="H11" s="132"/>
    </row>
    <row r="12" spans="1:10" ht="27.75" customHeight="1">
      <c r="A12" s="128"/>
      <c r="B12" s="123"/>
      <c r="C12" s="128"/>
      <c r="D12" s="123"/>
      <c r="E12" s="126"/>
      <c r="F12" s="40" t="s">
        <v>43</v>
      </c>
      <c r="G12" s="40" t="s">
        <v>44</v>
      </c>
      <c r="H12" s="41" t="s">
        <v>46</v>
      </c>
    </row>
    <row r="13" spans="1:10">
      <c r="A13" s="137"/>
      <c r="B13" s="138"/>
      <c r="C13" s="138"/>
      <c r="D13" s="138"/>
      <c r="E13" s="138"/>
      <c r="F13" s="138"/>
      <c r="G13" s="138"/>
      <c r="H13" s="139"/>
    </row>
    <row r="14" spans="1:10" ht="19.5" customHeight="1">
      <c r="A14" s="57" t="s">
        <v>5</v>
      </c>
      <c r="B14" s="163" t="s">
        <v>47</v>
      </c>
      <c r="C14" s="164"/>
      <c r="D14" s="164"/>
      <c r="E14" s="164"/>
      <c r="F14" s="164"/>
      <c r="G14" s="165"/>
      <c r="H14" s="43">
        <f>SUM(H15:H15)</f>
        <v>3662.58</v>
      </c>
    </row>
    <row r="15" spans="1:10" ht="28.5" customHeight="1">
      <c r="A15" s="58" t="s">
        <v>6</v>
      </c>
      <c r="B15" s="49" t="s">
        <v>55</v>
      </c>
      <c r="C15" s="50" t="s">
        <v>161</v>
      </c>
      <c r="D15" s="50" t="s">
        <v>7</v>
      </c>
      <c r="E15" s="88">
        <v>6</v>
      </c>
      <c r="F15" s="51">
        <v>469.92</v>
      </c>
      <c r="G15" s="44">
        <f>ROUND((F15*I7),2)</f>
        <v>610.42999999999995</v>
      </c>
      <c r="H15" s="44">
        <f>ROUND(E15*G15,2)</f>
        <v>3662.58</v>
      </c>
    </row>
    <row r="16" spans="1:10" ht="18" customHeight="1">
      <c r="A16" s="60" t="s">
        <v>8</v>
      </c>
      <c r="B16" s="160" t="s">
        <v>56</v>
      </c>
      <c r="C16" s="161"/>
      <c r="D16" s="161"/>
      <c r="E16" s="161"/>
      <c r="F16" s="161"/>
      <c r="G16" s="162"/>
      <c r="H16" s="45">
        <f>SUM(H17:H26)</f>
        <v>1859049.57</v>
      </c>
    </row>
    <row r="17" spans="1:11" ht="73.900000000000006" customHeight="1">
      <c r="A17" s="58" t="s">
        <v>57</v>
      </c>
      <c r="B17" s="64" t="s">
        <v>133</v>
      </c>
      <c r="C17" s="91" t="s">
        <v>156</v>
      </c>
      <c r="D17" s="52" t="s">
        <v>9</v>
      </c>
      <c r="E17" s="83">
        <v>27635.77</v>
      </c>
      <c r="F17" s="47">
        <v>9.75</v>
      </c>
      <c r="G17" s="44">
        <f>ROUND((F17*I7),2)</f>
        <v>12.67</v>
      </c>
      <c r="H17" s="44">
        <f>ROUND(E17*G17,2)</f>
        <v>350145.21</v>
      </c>
      <c r="I17" s="84">
        <v>32373.11</v>
      </c>
      <c r="J17" s="87">
        <v>0</v>
      </c>
    </row>
    <row r="18" spans="1:11" ht="61.15" customHeight="1">
      <c r="A18" s="58" t="s">
        <v>10</v>
      </c>
      <c r="B18" s="64" t="s">
        <v>58</v>
      </c>
      <c r="C18" s="91" t="s">
        <v>159</v>
      </c>
      <c r="D18" s="52" t="s">
        <v>9</v>
      </c>
      <c r="E18" s="83">
        <v>26732.7</v>
      </c>
      <c r="F18" s="47">
        <v>13.15</v>
      </c>
      <c r="G18" s="44">
        <f>ROUND((F18*I7),2)</f>
        <v>17.079999999999998</v>
      </c>
      <c r="H18" s="44">
        <f>ROUND(E18*G18,2)</f>
        <v>456594.52</v>
      </c>
      <c r="I18" s="84">
        <v>25408.02</v>
      </c>
      <c r="J18" s="87"/>
    </row>
    <row r="19" spans="1:11" ht="75">
      <c r="A19" s="58" t="s">
        <v>198</v>
      </c>
      <c r="B19" s="64" t="s">
        <v>182</v>
      </c>
      <c r="C19" s="91" t="s">
        <v>183</v>
      </c>
      <c r="D19" s="52" t="s">
        <v>9</v>
      </c>
      <c r="E19" s="83">
        <f>CÁLCULO!D16</f>
        <v>4800</v>
      </c>
      <c r="F19" s="47">
        <v>8.85</v>
      </c>
      <c r="G19" s="44">
        <f>ROUND((F19*I7),2)</f>
        <v>11.5</v>
      </c>
      <c r="H19" s="44">
        <f t="shared" ref="H19:H26" si="0">ROUND(E19*G19,2)</f>
        <v>55200</v>
      </c>
      <c r="I19" s="84">
        <f>5*2.5*18*32</f>
        <v>7200</v>
      </c>
      <c r="J19" s="87"/>
    </row>
    <row r="20" spans="1:11" ht="66.599999999999994" customHeight="1">
      <c r="A20" s="58" t="s">
        <v>199</v>
      </c>
      <c r="B20" s="64" t="s">
        <v>184</v>
      </c>
      <c r="C20" s="91" t="s">
        <v>185</v>
      </c>
      <c r="D20" s="52" t="s">
        <v>9</v>
      </c>
      <c r="E20" s="83">
        <f>CÁLCULO!D17</f>
        <v>4800</v>
      </c>
      <c r="F20" s="47">
        <v>10.45</v>
      </c>
      <c r="G20" s="44">
        <f>ROUND((F20*I7),2)</f>
        <v>13.57</v>
      </c>
      <c r="H20" s="44">
        <f>ROUND(E20*G20,2)</f>
        <v>65136</v>
      </c>
      <c r="I20" s="84"/>
      <c r="J20" s="87"/>
    </row>
    <row r="21" spans="1:11" ht="42" customHeight="1">
      <c r="A21" s="58" t="s">
        <v>200</v>
      </c>
      <c r="B21" s="64" t="s">
        <v>186</v>
      </c>
      <c r="C21" s="91" t="s">
        <v>187</v>
      </c>
      <c r="D21" s="52" t="s">
        <v>9</v>
      </c>
      <c r="E21" s="83">
        <f>CÁLCULO!D18</f>
        <v>18075</v>
      </c>
      <c r="F21" s="47">
        <v>4.1900000000000004</v>
      </c>
      <c r="G21" s="44">
        <f>ROUND((F21*I7),2)</f>
        <v>5.44</v>
      </c>
      <c r="H21" s="44">
        <f>ROUND(E21*G21,2)</f>
        <v>98328</v>
      </c>
      <c r="I21" s="84"/>
      <c r="J21" s="87"/>
    </row>
    <row r="22" spans="1:11" ht="32.450000000000003" customHeight="1">
      <c r="A22" s="58" t="s">
        <v>201</v>
      </c>
      <c r="B22" s="64" t="s">
        <v>188</v>
      </c>
      <c r="C22" s="91" t="s">
        <v>189</v>
      </c>
      <c r="D22" s="59" t="s">
        <v>7</v>
      </c>
      <c r="E22" s="83">
        <f>CÁLCULO!D19</f>
        <v>90375</v>
      </c>
      <c r="F22" s="47">
        <v>2.2599999999999998</v>
      </c>
      <c r="G22" s="44">
        <f>ROUND((F22*I7),2)</f>
        <v>2.94</v>
      </c>
      <c r="H22" s="44">
        <f t="shared" si="0"/>
        <v>265702.5</v>
      </c>
      <c r="I22" s="84"/>
      <c r="J22" s="87"/>
    </row>
    <row r="23" spans="1:11" ht="30">
      <c r="A23" s="58" t="s">
        <v>202</v>
      </c>
      <c r="B23" s="64" t="s">
        <v>190</v>
      </c>
      <c r="C23" s="91" t="s">
        <v>191</v>
      </c>
      <c r="D23" s="52" t="s">
        <v>9</v>
      </c>
      <c r="E23" s="83">
        <f>CÁLCULO!D20</f>
        <v>9037.5</v>
      </c>
      <c r="F23" s="47">
        <v>3.51</v>
      </c>
      <c r="G23" s="44">
        <f>ROUND((F23*I7),2)</f>
        <v>4.5599999999999996</v>
      </c>
      <c r="H23" s="44">
        <f t="shared" si="0"/>
        <v>41211</v>
      </c>
      <c r="I23" s="84"/>
      <c r="J23" s="87"/>
    </row>
    <row r="24" spans="1:11" ht="39" customHeight="1">
      <c r="A24" s="58" t="s">
        <v>203</v>
      </c>
      <c r="B24" s="64" t="s">
        <v>192</v>
      </c>
      <c r="C24" s="91" t="s">
        <v>193</v>
      </c>
      <c r="D24" s="59" t="s">
        <v>7</v>
      </c>
      <c r="E24" s="83">
        <f>CÁLCULO!D21</f>
        <v>90083.89</v>
      </c>
      <c r="F24" s="47">
        <v>0.11</v>
      </c>
      <c r="G24" s="44">
        <f>ROUND((F24*I7),2)</f>
        <v>0.14000000000000001</v>
      </c>
      <c r="H24" s="44">
        <f>ROUND(E24*G24,2)</f>
        <v>12611.74</v>
      </c>
      <c r="I24" s="84"/>
      <c r="J24" s="87"/>
    </row>
    <row r="25" spans="1:11" ht="30">
      <c r="A25" s="58" t="s">
        <v>204</v>
      </c>
      <c r="B25" s="64" t="s">
        <v>194</v>
      </c>
      <c r="C25" s="91" t="s">
        <v>195</v>
      </c>
      <c r="D25" s="59" t="s">
        <v>196</v>
      </c>
      <c r="E25" s="83">
        <f>CÁLCULO!D22</f>
        <v>33890.6</v>
      </c>
      <c r="F25" s="47">
        <v>5.64</v>
      </c>
      <c r="G25" s="44">
        <f>ROUND((F25*I7),2)</f>
        <v>7.33</v>
      </c>
      <c r="H25" s="44">
        <f t="shared" si="0"/>
        <v>248418.1</v>
      </c>
      <c r="I25" s="84"/>
      <c r="J25" s="87"/>
    </row>
    <row r="26" spans="1:11" ht="30">
      <c r="A26" s="58" t="s">
        <v>205</v>
      </c>
      <c r="B26" s="64" t="s">
        <v>197</v>
      </c>
      <c r="C26" s="91" t="s">
        <v>189</v>
      </c>
      <c r="D26" s="59" t="s">
        <v>7</v>
      </c>
      <c r="E26" s="83">
        <f>CÁLCULO!D23</f>
        <v>90375</v>
      </c>
      <c r="F26" s="47">
        <v>2.2599999999999998</v>
      </c>
      <c r="G26" s="44">
        <f>ROUND((F26*I7),2)</f>
        <v>2.94</v>
      </c>
      <c r="H26" s="44">
        <f t="shared" si="0"/>
        <v>265702.5</v>
      </c>
      <c r="I26" s="84"/>
      <c r="J26" s="87"/>
    </row>
    <row r="27" spans="1:11" ht="19.5" customHeight="1">
      <c r="A27" s="60" t="s">
        <v>11</v>
      </c>
      <c r="B27" s="160" t="s">
        <v>155</v>
      </c>
      <c r="C27" s="161"/>
      <c r="D27" s="161"/>
      <c r="E27" s="161"/>
      <c r="F27" s="161"/>
      <c r="G27" s="162"/>
      <c r="H27" s="45">
        <f>H28+H39</f>
        <v>9370942.700000003</v>
      </c>
    </row>
    <row r="28" spans="1:11" ht="19.5" customHeight="1">
      <c r="A28" s="60" t="s">
        <v>12</v>
      </c>
      <c r="B28" s="62" t="s">
        <v>154</v>
      </c>
      <c r="C28" s="133"/>
      <c r="D28" s="134"/>
      <c r="E28" s="63"/>
      <c r="F28" s="45"/>
      <c r="G28" s="45"/>
      <c r="H28" s="45">
        <f>SUM(H29:H38)</f>
        <v>4282003.2800000012</v>
      </c>
    </row>
    <row r="29" spans="1:11" ht="38.25" customHeight="1">
      <c r="A29" s="58" t="s">
        <v>59</v>
      </c>
      <c r="B29" s="64" t="s">
        <v>175</v>
      </c>
      <c r="C29" s="91" t="s">
        <v>176</v>
      </c>
      <c r="D29" s="59" t="s">
        <v>9</v>
      </c>
      <c r="E29" s="88">
        <f>J29</f>
        <v>78.28</v>
      </c>
      <c r="F29" s="47">
        <v>571.62</v>
      </c>
      <c r="G29" s="44">
        <f>ROUND((F29*I7),2)</f>
        <v>742.53</v>
      </c>
      <c r="H29" s="44">
        <f>ROUND(E29*G29,2)</f>
        <v>58125.25</v>
      </c>
      <c r="I29">
        <v>4.12</v>
      </c>
      <c r="J29">
        <f>I29*19</f>
        <v>78.28</v>
      </c>
    </row>
    <row r="30" spans="1:11" ht="35.450000000000003" customHeight="1">
      <c r="A30" s="58" t="s">
        <v>60</v>
      </c>
      <c r="B30" s="64" t="s">
        <v>118</v>
      </c>
      <c r="C30" s="91" t="s">
        <v>206</v>
      </c>
      <c r="D30" s="59" t="s">
        <v>117</v>
      </c>
      <c r="E30" s="88">
        <f>J30</f>
        <v>228</v>
      </c>
      <c r="F30" s="47">
        <v>9814.65</v>
      </c>
      <c r="G30" s="44">
        <f>ROUND((F30*I7),2)</f>
        <v>12749.23</v>
      </c>
      <c r="H30" s="44">
        <f t="shared" ref="H30:H37" si="1">ROUND(E30*G30,2)</f>
        <v>2906824.44</v>
      </c>
      <c r="I30" s="84">
        <v>12</v>
      </c>
      <c r="J30" s="84">
        <f>I30*19</f>
        <v>228</v>
      </c>
      <c r="K30" s="87">
        <f>J30+J41</f>
        <v>540</v>
      </c>
    </row>
    <row r="31" spans="1:11" ht="45.75" customHeight="1">
      <c r="A31" s="58" t="s">
        <v>61</v>
      </c>
      <c r="B31" s="64" t="s">
        <v>127</v>
      </c>
      <c r="C31" s="91" t="s">
        <v>124</v>
      </c>
      <c r="D31" s="59" t="s">
        <v>7</v>
      </c>
      <c r="E31" s="88">
        <f>J31</f>
        <v>2473.42</v>
      </c>
      <c r="F31" s="47">
        <v>151.21</v>
      </c>
      <c r="G31" s="44">
        <f>ROUND((F31*I7),2)</f>
        <v>196.42</v>
      </c>
      <c r="H31" s="44">
        <f t="shared" si="1"/>
        <v>485829.16</v>
      </c>
      <c r="I31" s="84">
        <v>130.18</v>
      </c>
      <c r="J31">
        <f t="shared" ref="J31:J37" si="2">I31*19</f>
        <v>2473.42</v>
      </c>
    </row>
    <row r="32" spans="1:11" ht="45.75" customHeight="1">
      <c r="A32" s="58" t="s">
        <v>81</v>
      </c>
      <c r="B32" s="64" t="s">
        <v>105</v>
      </c>
      <c r="C32" s="91" t="s">
        <v>123</v>
      </c>
      <c r="D32" s="59" t="s">
        <v>63</v>
      </c>
      <c r="E32" s="88">
        <f>J32</f>
        <v>7613.11</v>
      </c>
      <c r="F32" s="47">
        <v>14.86</v>
      </c>
      <c r="G32" s="44">
        <f>ROUND((F32*I7),2)</f>
        <v>19.3</v>
      </c>
      <c r="H32" s="44">
        <f t="shared" si="1"/>
        <v>146933.01999999999</v>
      </c>
      <c r="I32" s="65">
        <v>400.69</v>
      </c>
      <c r="J32">
        <f t="shared" si="2"/>
        <v>7613.11</v>
      </c>
    </row>
    <row r="33" spans="1:13" ht="45.75" customHeight="1">
      <c r="A33" s="58" t="s">
        <v>82</v>
      </c>
      <c r="B33" s="64" t="s">
        <v>106</v>
      </c>
      <c r="C33" s="91" t="s">
        <v>122</v>
      </c>
      <c r="D33" s="59" t="s">
        <v>63</v>
      </c>
      <c r="E33" s="88">
        <f t="shared" ref="E33:E36" si="3">J33</f>
        <v>5848.7699999999995</v>
      </c>
      <c r="F33" s="47">
        <v>13.97</v>
      </c>
      <c r="G33" s="44">
        <f>ROUND((F33*I7),2)</f>
        <v>18.149999999999999</v>
      </c>
      <c r="H33" s="44">
        <f t="shared" si="1"/>
        <v>106155.18</v>
      </c>
      <c r="I33" s="65">
        <v>307.83</v>
      </c>
      <c r="J33">
        <f t="shared" si="2"/>
        <v>5848.7699999999995</v>
      </c>
      <c r="M33" s="81">
        <f>SUM(H32:H36)</f>
        <v>454717.75</v>
      </c>
    </row>
    <row r="34" spans="1:13" ht="45.75" customHeight="1">
      <c r="A34" s="58" t="s">
        <v>86</v>
      </c>
      <c r="B34" s="64" t="s">
        <v>107</v>
      </c>
      <c r="C34" s="91" t="s">
        <v>126</v>
      </c>
      <c r="D34" s="59" t="s">
        <v>63</v>
      </c>
      <c r="E34" s="88">
        <f t="shared" si="3"/>
        <v>6958.75</v>
      </c>
      <c r="F34" s="47">
        <v>12.49</v>
      </c>
      <c r="G34" s="44">
        <f>ROUND((F34*I7),2)</f>
        <v>16.22</v>
      </c>
      <c r="H34" s="44">
        <f t="shared" si="1"/>
        <v>112870.93</v>
      </c>
      <c r="I34" s="65">
        <v>366.25</v>
      </c>
      <c r="J34">
        <f t="shared" si="2"/>
        <v>6958.75</v>
      </c>
    </row>
    <row r="35" spans="1:13" ht="45.75" customHeight="1">
      <c r="A35" s="58" t="s">
        <v>87</v>
      </c>
      <c r="B35" s="64" t="s">
        <v>108</v>
      </c>
      <c r="C35" s="91" t="s">
        <v>121</v>
      </c>
      <c r="D35" s="59" t="s">
        <v>63</v>
      </c>
      <c r="E35" s="88">
        <f t="shared" si="3"/>
        <v>5240.58</v>
      </c>
      <c r="F35" s="47">
        <v>10.54</v>
      </c>
      <c r="G35" s="44">
        <f>ROUND((F35*I7),2)</f>
        <v>13.69</v>
      </c>
      <c r="H35" s="44">
        <f t="shared" si="1"/>
        <v>71743.539999999994</v>
      </c>
      <c r="I35" s="65">
        <v>275.82</v>
      </c>
      <c r="J35">
        <f t="shared" si="2"/>
        <v>5240.58</v>
      </c>
      <c r="L35" s="112"/>
    </row>
    <row r="36" spans="1:13" ht="45.75" customHeight="1">
      <c r="A36" s="58" t="s">
        <v>88</v>
      </c>
      <c r="B36" s="64" t="s">
        <v>109</v>
      </c>
      <c r="C36" s="91" t="s">
        <v>120</v>
      </c>
      <c r="D36" s="59" t="s">
        <v>63</v>
      </c>
      <c r="E36" s="88">
        <f t="shared" si="3"/>
        <v>1309.8599999999999</v>
      </c>
      <c r="F36" s="47">
        <v>10</v>
      </c>
      <c r="G36" s="44">
        <f>ROUND((F36*I7),2)</f>
        <v>12.99</v>
      </c>
      <c r="H36" s="44">
        <f t="shared" si="1"/>
        <v>17015.080000000002</v>
      </c>
      <c r="I36" s="65">
        <v>68.94</v>
      </c>
      <c r="J36">
        <f>I36*19</f>
        <v>1309.8599999999999</v>
      </c>
      <c r="L36" s="112"/>
    </row>
    <row r="37" spans="1:13" ht="45.75" customHeight="1">
      <c r="A37" s="58" t="s">
        <v>89</v>
      </c>
      <c r="B37" s="64" t="s">
        <v>110</v>
      </c>
      <c r="C37" s="91" t="s">
        <v>119</v>
      </c>
      <c r="D37" s="59" t="s">
        <v>9</v>
      </c>
      <c r="E37" s="88">
        <f>J37</f>
        <v>483.92999999999995</v>
      </c>
      <c r="F37" s="47">
        <v>572.77</v>
      </c>
      <c r="G37" s="44">
        <f>ROUND((F37*I7),2)</f>
        <v>744.03</v>
      </c>
      <c r="H37" s="44">
        <f t="shared" si="1"/>
        <v>360058.44</v>
      </c>
      <c r="I37" s="84">
        <v>25.47</v>
      </c>
      <c r="J37">
        <f t="shared" si="2"/>
        <v>483.92999999999995</v>
      </c>
      <c r="L37" s="112"/>
    </row>
    <row r="38" spans="1:13" ht="45.75" customHeight="1">
      <c r="A38" s="58" t="s">
        <v>90</v>
      </c>
      <c r="B38" s="64" t="s">
        <v>85</v>
      </c>
      <c r="C38" s="91" t="s">
        <v>160</v>
      </c>
      <c r="D38" s="59" t="s">
        <v>7</v>
      </c>
      <c r="E38" s="88">
        <f>J38</f>
        <v>2473.42</v>
      </c>
      <c r="F38" s="47">
        <v>5.12</v>
      </c>
      <c r="G38" s="44">
        <f>ROUND((F38*I7),2)</f>
        <v>6.65</v>
      </c>
      <c r="H38" s="44">
        <f>ROUND(E38*G38,2)</f>
        <v>16448.240000000002</v>
      </c>
      <c r="I38" s="84">
        <v>130.18</v>
      </c>
      <c r="J38">
        <f>I38*19</f>
        <v>2473.42</v>
      </c>
      <c r="L38" s="112"/>
    </row>
    <row r="39" spans="1:13" ht="23.25" customHeight="1">
      <c r="A39" s="60" t="s">
        <v>39</v>
      </c>
      <c r="B39" s="124" t="s">
        <v>153</v>
      </c>
      <c r="C39" s="124"/>
      <c r="D39" s="124"/>
      <c r="E39" s="63"/>
      <c r="F39" s="45"/>
      <c r="G39" s="45"/>
      <c r="H39" s="45">
        <f>SUM(H40:H49)</f>
        <v>5088939.4200000009</v>
      </c>
      <c r="L39" s="112"/>
    </row>
    <row r="40" spans="1:13" ht="38.25" customHeight="1">
      <c r="A40" s="58" t="s">
        <v>62</v>
      </c>
      <c r="B40" s="64" t="s">
        <v>83</v>
      </c>
      <c r="C40" s="91" t="s">
        <v>176</v>
      </c>
      <c r="D40" s="59" t="s">
        <v>9</v>
      </c>
      <c r="E40" s="65">
        <f>J40</f>
        <v>83.72</v>
      </c>
      <c r="F40" s="47">
        <v>571.62</v>
      </c>
      <c r="G40" s="44">
        <f>ROUND((F40*I7),2)</f>
        <v>742.53</v>
      </c>
      <c r="H40" s="44">
        <f>ROUND(E40*G40,2)</f>
        <v>62164.61</v>
      </c>
      <c r="I40">
        <v>6.44</v>
      </c>
      <c r="J40">
        <f>I40*13</f>
        <v>83.72</v>
      </c>
      <c r="L40" s="112"/>
    </row>
    <row r="41" spans="1:13" ht="51.75" customHeight="1">
      <c r="A41" s="58" t="s">
        <v>91</v>
      </c>
      <c r="B41" s="64" t="s">
        <v>118</v>
      </c>
      <c r="C41" s="91" t="s">
        <v>125</v>
      </c>
      <c r="D41" s="59" t="s">
        <v>117</v>
      </c>
      <c r="E41" s="83">
        <f>J41</f>
        <v>312</v>
      </c>
      <c r="F41" s="47">
        <v>9814.65</v>
      </c>
      <c r="G41" s="44">
        <f>ROUND((F41*I7),2)</f>
        <v>12749.23</v>
      </c>
      <c r="H41" s="44">
        <f>ROUND(E41*G41,2)</f>
        <v>3977759.76</v>
      </c>
      <c r="I41" s="85">
        <f>12*2</f>
        <v>24</v>
      </c>
      <c r="J41">
        <f>I41*13</f>
        <v>312</v>
      </c>
      <c r="L41" s="112"/>
    </row>
    <row r="42" spans="1:13" ht="41.25" customHeight="1">
      <c r="A42" s="58" t="s">
        <v>92</v>
      </c>
      <c r="B42" s="64" t="s">
        <v>127</v>
      </c>
      <c r="C42" s="91" t="s">
        <v>124</v>
      </c>
      <c r="D42" s="59" t="s">
        <v>7</v>
      </c>
      <c r="E42" s="83">
        <f t="shared" ref="E42:E49" si="4">J42</f>
        <v>1934.53</v>
      </c>
      <c r="F42" s="47">
        <v>151.21</v>
      </c>
      <c r="G42" s="44">
        <f>ROUND((F42*I7),2)</f>
        <v>196.42</v>
      </c>
      <c r="H42" s="44">
        <f>ROUND(E42*G42,2)</f>
        <v>379980.38</v>
      </c>
      <c r="I42" s="85">
        <v>148.81</v>
      </c>
      <c r="J42">
        <f t="shared" ref="J42:J49" si="5">I42*13</f>
        <v>1934.53</v>
      </c>
      <c r="L42" s="112"/>
    </row>
    <row r="43" spans="1:13" ht="51.75" customHeight="1">
      <c r="A43" s="58" t="s">
        <v>93</v>
      </c>
      <c r="B43" s="64" t="s">
        <v>105</v>
      </c>
      <c r="C43" s="91" t="s">
        <v>123</v>
      </c>
      <c r="D43" s="59" t="s">
        <v>63</v>
      </c>
      <c r="E43" s="83">
        <f t="shared" si="4"/>
        <v>6772.6100000000006</v>
      </c>
      <c r="F43" s="47">
        <v>14.86</v>
      </c>
      <c r="G43" s="44">
        <f>ROUND((F43*I7),2)</f>
        <v>19.3</v>
      </c>
      <c r="H43" s="44">
        <f t="shared" ref="H43:H49" si="6">ROUND(E43*G43,2)</f>
        <v>130711.37</v>
      </c>
      <c r="I43" s="65">
        <v>520.97</v>
      </c>
      <c r="J43">
        <f t="shared" si="5"/>
        <v>6772.6100000000006</v>
      </c>
    </row>
    <row r="44" spans="1:13" ht="51.75" customHeight="1">
      <c r="A44" s="58" t="s">
        <v>94</v>
      </c>
      <c r="B44" s="64" t="s">
        <v>106</v>
      </c>
      <c r="C44" s="91" t="s">
        <v>122</v>
      </c>
      <c r="D44" s="59" t="s">
        <v>63</v>
      </c>
      <c r="E44" s="83">
        <f t="shared" si="4"/>
        <v>4001.79</v>
      </c>
      <c r="F44" s="47">
        <v>13.97</v>
      </c>
      <c r="G44" s="44">
        <f>ROUND((F44*I7),2)</f>
        <v>18.149999999999999</v>
      </c>
      <c r="H44" s="44">
        <f t="shared" si="6"/>
        <v>72632.490000000005</v>
      </c>
      <c r="I44" s="65">
        <v>307.83</v>
      </c>
      <c r="J44">
        <f t="shared" si="5"/>
        <v>4001.79</v>
      </c>
    </row>
    <row r="45" spans="1:13" ht="51.75" customHeight="1">
      <c r="A45" s="58" t="s">
        <v>95</v>
      </c>
      <c r="B45" s="64" t="s">
        <v>107</v>
      </c>
      <c r="C45" s="91" t="s">
        <v>126</v>
      </c>
      <c r="D45" s="59" t="s">
        <v>63</v>
      </c>
      <c r="E45" s="83">
        <f t="shared" si="4"/>
        <v>4761.25</v>
      </c>
      <c r="F45" s="47">
        <v>12.49</v>
      </c>
      <c r="G45" s="44">
        <f>ROUND((F45*I7),2)</f>
        <v>16.22</v>
      </c>
      <c r="H45" s="44">
        <f t="shared" si="6"/>
        <v>77227.48</v>
      </c>
      <c r="I45" s="65">
        <v>366.25</v>
      </c>
      <c r="J45">
        <f t="shared" si="5"/>
        <v>4761.25</v>
      </c>
      <c r="M45" s="81">
        <f>SUM(H43:H47)</f>
        <v>354198.02999999997</v>
      </c>
    </row>
    <row r="46" spans="1:13" ht="51.75" customHeight="1">
      <c r="A46" s="58" t="s">
        <v>96</v>
      </c>
      <c r="B46" s="64" t="s">
        <v>108</v>
      </c>
      <c r="C46" s="91" t="s">
        <v>121</v>
      </c>
      <c r="D46" s="59" t="s">
        <v>63</v>
      </c>
      <c r="E46" s="83">
        <f t="shared" si="4"/>
        <v>3878.29</v>
      </c>
      <c r="F46" s="47">
        <v>10.54</v>
      </c>
      <c r="G46" s="44">
        <f>ROUND((F46*I7),2)</f>
        <v>13.69</v>
      </c>
      <c r="H46" s="44">
        <f t="shared" si="6"/>
        <v>53093.79</v>
      </c>
      <c r="I46" s="65">
        <v>298.33</v>
      </c>
      <c r="J46">
        <f t="shared" si="5"/>
        <v>3878.29</v>
      </c>
    </row>
    <row r="47" spans="1:13" ht="45.75" customHeight="1">
      <c r="A47" s="58" t="s">
        <v>97</v>
      </c>
      <c r="B47" s="64" t="s">
        <v>109</v>
      </c>
      <c r="C47" s="91" t="s">
        <v>120</v>
      </c>
      <c r="D47" s="59" t="s">
        <v>63</v>
      </c>
      <c r="E47" s="83">
        <f t="shared" si="4"/>
        <v>1580.67</v>
      </c>
      <c r="F47" s="47">
        <v>10</v>
      </c>
      <c r="G47" s="44">
        <f>ROUND((F47*I7),2)</f>
        <v>12.99</v>
      </c>
      <c r="H47" s="44">
        <f t="shared" si="6"/>
        <v>20532.900000000001</v>
      </c>
      <c r="I47" s="65">
        <v>121.59</v>
      </c>
      <c r="J47">
        <f>I47*13</f>
        <v>1580.67</v>
      </c>
    </row>
    <row r="48" spans="1:13" ht="51.75" customHeight="1">
      <c r="A48" s="58" t="s">
        <v>98</v>
      </c>
      <c r="B48" s="64" t="s">
        <v>110</v>
      </c>
      <c r="C48" s="91" t="s">
        <v>119</v>
      </c>
      <c r="D48" s="59" t="s">
        <v>9</v>
      </c>
      <c r="E48" s="83">
        <f t="shared" si="4"/>
        <v>405.86</v>
      </c>
      <c r="F48" s="47">
        <v>572.77</v>
      </c>
      <c r="G48" s="44">
        <f>ROUND((F48*I7),2)</f>
        <v>744.03</v>
      </c>
      <c r="H48" s="44">
        <f t="shared" si="6"/>
        <v>301972.02</v>
      </c>
      <c r="I48" s="86">
        <v>31.22</v>
      </c>
      <c r="J48">
        <f t="shared" si="5"/>
        <v>405.86</v>
      </c>
    </row>
    <row r="49" spans="1:13" ht="41.25" customHeight="1">
      <c r="A49" s="58" t="s">
        <v>99</v>
      </c>
      <c r="B49" s="64" t="s">
        <v>85</v>
      </c>
      <c r="C49" s="91" t="s">
        <v>160</v>
      </c>
      <c r="D49" s="59" t="s">
        <v>9</v>
      </c>
      <c r="E49" s="83">
        <f t="shared" si="4"/>
        <v>1934.53</v>
      </c>
      <c r="F49" s="47">
        <v>5.12</v>
      </c>
      <c r="G49" s="44">
        <f>ROUND((F49*I7),2)</f>
        <v>6.65</v>
      </c>
      <c r="H49" s="44">
        <f t="shared" si="6"/>
        <v>12864.62</v>
      </c>
      <c r="I49" s="86">
        <v>148.81</v>
      </c>
      <c r="J49">
        <f t="shared" si="5"/>
        <v>1934.53</v>
      </c>
    </row>
    <row r="50" spans="1:13" ht="17.25" customHeight="1">
      <c r="A50" s="60">
        <v>4</v>
      </c>
      <c r="B50" s="129" t="s">
        <v>152</v>
      </c>
      <c r="C50" s="129"/>
      <c r="D50" s="129" t="s">
        <v>45</v>
      </c>
      <c r="E50" s="63"/>
      <c r="F50" s="45"/>
      <c r="G50" s="45"/>
      <c r="H50" s="45">
        <f>H51+H56+H61</f>
        <v>3199710.28</v>
      </c>
      <c r="K50" s="87">
        <f>K54+K30</f>
        <v>2484</v>
      </c>
    </row>
    <row r="51" spans="1:13" ht="17.25" customHeight="1">
      <c r="A51" s="60" t="s">
        <v>100</v>
      </c>
      <c r="B51" s="82" t="s">
        <v>163</v>
      </c>
      <c r="C51" s="82"/>
      <c r="D51" s="82"/>
      <c r="E51" s="63"/>
      <c r="F51" s="45"/>
      <c r="G51" s="45"/>
      <c r="H51" s="45">
        <f>SUM(H52:H55)</f>
        <v>2071944.6099999999</v>
      </c>
    </row>
    <row r="52" spans="1:13" ht="42" customHeight="1">
      <c r="A52" s="58" t="s">
        <v>218</v>
      </c>
      <c r="B52" s="64" t="s">
        <v>134</v>
      </c>
      <c r="C52" s="91" t="s">
        <v>135</v>
      </c>
      <c r="D52" s="59" t="s">
        <v>9</v>
      </c>
      <c r="E52" s="88">
        <f>J52</f>
        <v>398.88</v>
      </c>
      <c r="F52" s="47">
        <v>408.47</v>
      </c>
      <c r="G52" s="44">
        <f>ROUND((F52*I7),2)</f>
        <v>530.6</v>
      </c>
      <c r="H52" s="44">
        <f>ROUND(E52*G52,2)</f>
        <v>211645.73</v>
      </c>
      <c r="I52">
        <v>5.54</v>
      </c>
      <c r="J52">
        <f>I52*72</f>
        <v>398.88</v>
      </c>
    </row>
    <row r="53" spans="1:13" ht="42" customHeight="1">
      <c r="A53" s="58" t="s">
        <v>219</v>
      </c>
      <c r="B53" s="64" t="s">
        <v>83</v>
      </c>
      <c r="C53" s="91" t="s">
        <v>176</v>
      </c>
      <c r="D53" s="59" t="s">
        <v>9</v>
      </c>
      <c r="E53" s="88">
        <f>J53</f>
        <v>517.68000000000006</v>
      </c>
      <c r="F53" s="47">
        <v>571.62</v>
      </c>
      <c r="G53" s="44">
        <f>ROUND((F53*I7),2)</f>
        <v>742.53</v>
      </c>
      <c r="H53" s="44">
        <f>ROUND(E53*G53,2)</f>
        <v>384392.93</v>
      </c>
      <c r="I53">
        <v>7.19</v>
      </c>
      <c r="J53">
        <f>I53*72</f>
        <v>517.68000000000006</v>
      </c>
    </row>
    <row r="54" spans="1:13" ht="51" customHeight="1">
      <c r="A54" s="58" t="s">
        <v>220</v>
      </c>
      <c r="B54" s="53" t="s">
        <v>136</v>
      </c>
      <c r="C54" s="50" t="s">
        <v>137</v>
      </c>
      <c r="D54" s="50" t="s">
        <v>117</v>
      </c>
      <c r="E54" s="88">
        <f>J54</f>
        <v>1296</v>
      </c>
      <c r="F54" s="47">
        <v>549.99</v>
      </c>
      <c r="G54" s="44">
        <f>ROUND((F54*I7),2)</f>
        <v>714.44</v>
      </c>
      <c r="H54" s="44">
        <f>ROUND(E54*G54,2)</f>
        <v>925914.24</v>
      </c>
      <c r="I54">
        <v>72</v>
      </c>
      <c r="J54">
        <f>I54*18</f>
        <v>1296</v>
      </c>
      <c r="K54">
        <f>J54+I59+I64</f>
        <v>1944</v>
      </c>
      <c r="M54" s="81" t="e">
        <f>#REF!*#REF!</f>
        <v>#REF!</v>
      </c>
    </row>
    <row r="55" spans="1:13" ht="42" customHeight="1">
      <c r="A55" s="58" t="s">
        <v>221</v>
      </c>
      <c r="B55" s="64" t="s">
        <v>127</v>
      </c>
      <c r="C55" s="91" t="s">
        <v>124</v>
      </c>
      <c r="D55" s="59" t="s">
        <v>7</v>
      </c>
      <c r="E55" s="88">
        <f>J55</f>
        <v>2800.08</v>
      </c>
      <c r="F55" s="47">
        <v>151.21</v>
      </c>
      <c r="G55" s="44">
        <f>ROUND((F55*I7),2)</f>
        <v>196.42</v>
      </c>
      <c r="H55" s="44">
        <f>ROUND(E55*G55,2)</f>
        <v>549991.71</v>
      </c>
      <c r="I55">
        <v>38.89</v>
      </c>
      <c r="J55">
        <f>I55*72</f>
        <v>2800.08</v>
      </c>
    </row>
    <row r="56" spans="1:13" ht="23.25" customHeight="1">
      <c r="A56" s="60" t="s">
        <v>101</v>
      </c>
      <c r="B56" s="129" t="s">
        <v>164</v>
      </c>
      <c r="C56" s="129"/>
      <c r="D56" s="129"/>
      <c r="E56" s="63"/>
      <c r="F56" s="45"/>
      <c r="G56" s="45"/>
      <c r="H56" s="45">
        <f>SUM(H57:H60)</f>
        <v>951494.78</v>
      </c>
    </row>
    <row r="57" spans="1:13" ht="42" customHeight="1">
      <c r="A57" s="58" t="s">
        <v>102</v>
      </c>
      <c r="B57" s="64" t="s">
        <v>134</v>
      </c>
      <c r="C57" s="91" t="s">
        <v>135</v>
      </c>
      <c r="D57" s="59" t="s">
        <v>9</v>
      </c>
      <c r="E57" s="88">
        <f>J57</f>
        <v>201.3</v>
      </c>
      <c r="F57" s="47">
        <v>408.47</v>
      </c>
      <c r="G57" s="44">
        <f>ROUND((F57*I7),2)</f>
        <v>530.6</v>
      </c>
      <c r="H57" s="44">
        <f>ROUND(E57*G57,2)</f>
        <v>106809.78</v>
      </c>
      <c r="I57">
        <v>13.42</v>
      </c>
      <c r="J57">
        <f>I57*15</f>
        <v>201.3</v>
      </c>
    </row>
    <row r="58" spans="1:13" ht="42" customHeight="1">
      <c r="A58" s="58" t="s">
        <v>103</v>
      </c>
      <c r="B58" s="64" t="s">
        <v>83</v>
      </c>
      <c r="C58" s="91" t="s">
        <v>176</v>
      </c>
      <c r="D58" s="59" t="s">
        <v>9</v>
      </c>
      <c r="E58" s="88">
        <f>J58</f>
        <v>177.89999999999998</v>
      </c>
      <c r="F58" s="47">
        <v>571.62</v>
      </c>
      <c r="G58" s="44">
        <f>ROUND((F58*I7),2)</f>
        <v>742.53</v>
      </c>
      <c r="H58" s="44">
        <f>ROUND(E58*G58,2)</f>
        <v>132096.09</v>
      </c>
      <c r="I58">
        <v>11.86</v>
      </c>
      <c r="J58">
        <f>I58*15</f>
        <v>177.89999999999998</v>
      </c>
    </row>
    <row r="59" spans="1:13" ht="42" customHeight="1">
      <c r="A59" s="58" t="s">
        <v>104</v>
      </c>
      <c r="B59" s="53" t="s">
        <v>84</v>
      </c>
      <c r="C59" s="50" t="s">
        <v>129</v>
      </c>
      <c r="D59" s="50" t="s">
        <v>117</v>
      </c>
      <c r="E59" s="88">
        <f>I59</f>
        <v>540</v>
      </c>
      <c r="F59" s="47">
        <v>784.18</v>
      </c>
      <c r="G59" s="44">
        <f>ROUND((F59*I7),2)</f>
        <v>1018.65</v>
      </c>
      <c r="H59" s="44">
        <f>ROUND(E59*G59,2)</f>
        <v>550071</v>
      </c>
      <c r="I59">
        <f>15*18*2</f>
        <v>540</v>
      </c>
    </row>
    <row r="60" spans="1:13" ht="42" customHeight="1">
      <c r="A60" s="58" t="s">
        <v>115</v>
      </c>
      <c r="B60" s="64" t="s">
        <v>127</v>
      </c>
      <c r="C60" s="91" t="s">
        <v>124</v>
      </c>
      <c r="D60" s="59" t="s">
        <v>7</v>
      </c>
      <c r="E60" s="88">
        <f>J60</f>
        <v>827.4</v>
      </c>
      <c r="F60" s="47">
        <v>151.21</v>
      </c>
      <c r="G60" s="44">
        <f>ROUND((F60*I7),2)</f>
        <v>196.42</v>
      </c>
      <c r="H60" s="44">
        <f>ROUND(E60*G60,2)</f>
        <v>162517.91</v>
      </c>
      <c r="I60">
        <v>55.16</v>
      </c>
      <c r="J60">
        <f>I60*15</f>
        <v>827.4</v>
      </c>
    </row>
    <row r="61" spans="1:13" ht="27.75" customHeight="1">
      <c r="A61" s="60" t="s">
        <v>111</v>
      </c>
      <c r="B61" s="129" t="s">
        <v>165</v>
      </c>
      <c r="C61" s="129"/>
      <c r="D61" s="129"/>
      <c r="E61" s="63"/>
      <c r="F61" s="45"/>
      <c r="G61" s="45"/>
      <c r="H61" s="45">
        <f>SUM(H62:H65)</f>
        <v>176270.89</v>
      </c>
    </row>
    <row r="62" spans="1:13" ht="42" customHeight="1">
      <c r="A62" s="58" t="s">
        <v>112</v>
      </c>
      <c r="B62" s="64" t="s">
        <v>134</v>
      </c>
      <c r="C62" s="91" t="s">
        <v>135</v>
      </c>
      <c r="D62" s="59" t="s">
        <v>9</v>
      </c>
      <c r="E62" s="88">
        <f>J62</f>
        <v>39.44</v>
      </c>
      <c r="F62" s="47">
        <v>408.47</v>
      </c>
      <c r="G62" s="44">
        <f>ROUND((F62*I7),2)</f>
        <v>530.6</v>
      </c>
      <c r="H62" s="44">
        <f>ROUND(E62*G62,2)</f>
        <v>20926.86</v>
      </c>
      <c r="I62">
        <v>19.72</v>
      </c>
      <c r="J62">
        <f>I62*2</f>
        <v>39.44</v>
      </c>
    </row>
    <row r="63" spans="1:13" ht="42" customHeight="1">
      <c r="A63" s="58" t="s">
        <v>113</v>
      </c>
      <c r="B63" s="64" t="s">
        <v>83</v>
      </c>
      <c r="C63" s="91" t="s">
        <v>176</v>
      </c>
      <c r="D63" s="59" t="s">
        <v>9</v>
      </c>
      <c r="E63" s="88">
        <f>J63</f>
        <v>28.04</v>
      </c>
      <c r="F63" s="47">
        <v>571.62</v>
      </c>
      <c r="G63" s="44">
        <f>ROUND((F63*I7),2)</f>
        <v>742.53</v>
      </c>
      <c r="H63" s="44">
        <f>ROUND(E63*G63,2)</f>
        <v>20820.54</v>
      </c>
      <c r="I63">
        <v>14.02</v>
      </c>
      <c r="J63">
        <f>I63*2</f>
        <v>28.04</v>
      </c>
    </row>
    <row r="64" spans="1:13" ht="42" customHeight="1">
      <c r="A64" s="58" t="s">
        <v>114</v>
      </c>
      <c r="B64" s="53" t="s">
        <v>84</v>
      </c>
      <c r="C64" s="50" t="s">
        <v>128</v>
      </c>
      <c r="D64" s="50" t="s">
        <v>117</v>
      </c>
      <c r="E64" s="88">
        <f>I64</f>
        <v>108</v>
      </c>
      <c r="F64" s="47">
        <v>784.18</v>
      </c>
      <c r="G64" s="44">
        <f>ROUND((F64*I7),2)</f>
        <v>1018.65</v>
      </c>
      <c r="H64" s="44">
        <f>ROUND(E64*G64,2)</f>
        <v>110014.2</v>
      </c>
      <c r="I64">
        <f>18*2*3</f>
        <v>108</v>
      </c>
    </row>
    <row r="65" spans="1:10" ht="42" customHeight="1">
      <c r="A65" s="58" t="s">
        <v>116</v>
      </c>
      <c r="B65" s="64" t="s">
        <v>127</v>
      </c>
      <c r="C65" s="91" t="s">
        <v>124</v>
      </c>
      <c r="D65" s="59" t="s">
        <v>7</v>
      </c>
      <c r="E65" s="88">
        <f>J65</f>
        <v>124.78</v>
      </c>
      <c r="F65" s="47">
        <v>151.21</v>
      </c>
      <c r="G65" s="44">
        <f>ROUND((F65*I7),2)</f>
        <v>196.42</v>
      </c>
      <c r="H65" s="44">
        <f>ROUND(E65*G65,2)</f>
        <v>24509.29</v>
      </c>
      <c r="I65">
        <v>62.39</v>
      </c>
      <c r="J65">
        <f>I65*2</f>
        <v>124.78</v>
      </c>
    </row>
    <row r="66" spans="1:10" ht="22.5" customHeight="1">
      <c r="A66" s="42" t="s">
        <v>4</v>
      </c>
      <c r="B66" s="95"/>
      <c r="C66" s="95"/>
      <c r="D66" s="95"/>
      <c r="E66" s="95"/>
      <c r="F66" s="95"/>
      <c r="G66" s="96"/>
      <c r="H66" s="46">
        <f>H14+H16+H27+H50</f>
        <v>14433365.130000003</v>
      </c>
      <c r="J66" s="81"/>
    </row>
    <row r="67" spans="1:10">
      <c r="A67" s="61"/>
      <c r="B67" s="48"/>
      <c r="C67" s="48"/>
      <c r="D67" s="48"/>
      <c r="E67" s="48"/>
      <c r="F67" s="48"/>
      <c r="G67" s="48"/>
      <c r="H67" s="48"/>
    </row>
    <row r="68" spans="1:10">
      <c r="A68" s="34"/>
      <c r="B68" s="36"/>
      <c r="C68" s="36"/>
      <c r="D68" s="36"/>
      <c r="E68" s="35"/>
      <c r="F68" s="35"/>
      <c r="G68" s="37"/>
      <c r="H68" s="38"/>
    </row>
    <row r="69" spans="1:10">
      <c r="A69" s="34"/>
      <c r="B69" s="36"/>
      <c r="C69" s="36"/>
      <c r="D69" s="36"/>
      <c r="E69" s="35"/>
      <c r="F69" s="35"/>
      <c r="G69" s="37"/>
      <c r="H69" s="38"/>
    </row>
    <row r="70" spans="1:10">
      <c r="A70" s="34"/>
      <c r="B70" s="36"/>
      <c r="C70" s="36"/>
      <c r="D70" s="36"/>
      <c r="E70" s="35"/>
      <c r="F70" s="35"/>
      <c r="G70" s="37"/>
      <c r="H70" s="38"/>
      <c r="J70">
        <f>125*18</f>
        <v>2250</v>
      </c>
    </row>
    <row r="71" spans="1:10">
      <c r="A71" s="34"/>
      <c r="B71" s="36"/>
      <c r="C71" s="36"/>
      <c r="D71" s="36"/>
      <c r="E71" s="35"/>
      <c r="F71" s="35"/>
      <c r="G71" s="37"/>
      <c r="H71" s="38"/>
    </row>
    <row r="72" spans="1:10">
      <c r="A72" s="39"/>
      <c r="B72" s="36"/>
      <c r="C72" s="36"/>
      <c r="D72" s="36"/>
      <c r="E72" s="35"/>
      <c r="F72" s="35"/>
      <c r="G72" s="37"/>
      <c r="H72" s="38"/>
    </row>
    <row r="73" spans="1:10">
      <c r="A73" s="122"/>
      <c r="B73" s="122"/>
      <c r="C73" s="122"/>
      <c r="D73" s="122"/>
      <c r="E73" s="122"/>
      <c r="F73" s="122"/>
      <c r="G73" s="122"/>
      <c r="H73" s="122"/>
    </row>
    <row r="74" spans="1:10">
      <c r="A74" s="34"/>
      <c r="B74" s="36"/>
      <c r="C74" s="36"/>
      <c r="D74" s="36"/>
      <c r="E74" s="35"/>
      <c r="F74" s="35"/>
      <c r="G74" s="37"/>
      <c r="H74" s="38"/>
    </row>
  </sheetData>
  <mergeCells count="26">
    <mergeCell ref="A10:H10"/>
    <mergeCell ref="A13:H13"/>
    <mergeCell ref="B61:D61"/>
    <mergeCell ref="A1:H6"/>
    <mergeCell ref="G8:H8"/>
    <mergeCell ref="G9:H9"/>
    <mergeCell ref="A8:C8"/>
    <mergeCell ref="A7:C7"/>
    <mergeCell ref="A9:C9"/>
    <mergeCell ref="D7:F7"/>
    <mergeCell ref="D8:F9"/>
    <mergeCell ref="B16:G16"/>
    <mergeCell ref="B14:G14"/>
    <mergeCell ref="B27:G27"/>
    <mergeCell ref="G7:H7"/>
    <mergeCell ref="A73:H73"/>
    <mergeCell ref="B11:B12"/>
    <mergeCell ref="B39:D39"/>
    <mergeCell ref="E11:E12"/>
    <mergeCell ref="D11:D12"/>
    <mergeCell ref="A11:A12"/>
    <mergeCell ref="B50:D50"/>
    <mergeCell ref="F11:H11"/>
    <mergeCell ref="C28:D28"/>
    <mergeCell ref="B56:D56"/>
    <mergeCell ref="C11:C12"/>
  </mergeCells>
  <pageMargins left="0.70866141732283472" right="0.51181102362204722" top="0.19685039370078741" bottom="0.39370078740157483" header="0.31496062992125984" footer="0.31496062992125984"/>
  <pageSetup paperSize="9" scale="79" orientation="landscape" r:id="rId1"/>
  <rowBreaks count="5" manualBreakCount="5">
    <brk id="21" max="7" man="1"/>
    <brk id="32" max="7" man="1"/>
    <brk id="41" max="7" man="1"/>
    <brk id="49" max="7" man="1"/>
    <brk id="6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view="pageBreakPreview" topLeftCell="A16" zoomScale="90" zoomScaleNormal="100" zoomScaleSheetLayoutView="90" workbookViewId="0">
      <selection activeCell="G19" sqref="G1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7.7109375" customWidth="1"/>
    <col min="7" max="7" width="13.7109375" customWidth="1"/>
  </cols>
  <sheetData>
    <row r="1" spans="1:12">
      <c r="A1" s="168"/>
      <c r="B1" s="168"/>
      <c r="C1" s="168"/>
      <c r="D1" s="168"/>
      <c r="E1" s="168"/>
    </row>
    <row r="2" spans="1:12">
      <c r="A2" s="168"/>
      <c r="B2" s="168"/>
      <c r="C2" s="168"/>
      <c r="D2" s="168"/>
      <c r="E2" s="168"/>
    </row>
    <row r="3" spans="1:12">
      <c r="A3" s="168"/>
      <c r="B3" s="168"/>
      <c r="C3" s="168"/>
      <c r="D3" s="168"/>
      <c r="E3" s="168"/>
    </row>
    <row r="4" spans="1:12" ht="25.5" customHeight="1">
      <c r="A4" s="168"/>
      <c r="B4" s="168"/>
      <c r="C4" s="168"/>
      <c r="D4" s="168"/>
      <c r="E4" s="168"/>
    </row>
    <row r="5" spans="1:12" ht="20.45" customHeight="1">
      <c r="A5" s="168"/>
      <c r="B5" s="168"/>
      <c r="C5" s="168"/>
      <c r="D5" s="168"/>
      <c r="E5" s="168"/>
    </row>
    <row r="6" spans="1:12" ht="20.25" customHeight="1">
      <c r="A6" s="147" t="s">
        <v>0</v>
      </c>
      <c r="B6" s="147"/>
      <c r="C6" s="147"/>
      <c r="D6" s="147"/>
      <c r="E6" s="70" t="s">
        <v>75</v>
      </c>
    </row>
    <row r="7" spans="1:12" ht="33" customHeight="1">
      <c r="A7" s="147" t="s">
        <v>174</v>
      </c>
      <c r="B7" s="147"/>
      <c r="C7" s="147"/>
      <c r="D7" s="147"/>
      <c r="E7" s="172">
        <v>44720</v>
      </c>
    </row>
    <row r="8" spans="1:12" ht="21.75" customHeight="1">
      <c r="A8" s="147" t="s">
        <v>162</v>
      </c>
      <c r="B8" s="147"/>
      <c r="C8" s="147"/>
      <c r="D8" s="147"/>
      <c r="E8" s="172"/>
    </row>
    <row r="9" spans="1:12">
      <c r="A9" s="171"/>
      <c r="B9" s="171"/>
      <c r="C9" s="171"/>
      <c r="D9" s="171"/>
      <c r="E9" s="171"/>
    </row>
    <row r="10" spans="1:12" ht="20.25" customHeight="1">
      <c r="A10" s="70" t="s">
        <v>1</v>
      </c>
      <c r="B10" s="70" t="s">
        <v>40</v>
      </c>
      <c r="C10" s="70" t="s">
        <v>74</v>
      </c>
      <c r="D10" s="70" t="s">
        <v>72</v>
      </c>
      <c r="E10" s="70" t="s">
        <v>73</v>
      </c>
    </row>
    <row r="11" spans="1:12" ht="20.25" customHeight="1">
      <c r="A11" s="70">
        <v>1</v>
      </c>
      <c r="B11" s="70" t="str">
        <f>ORÇAMENTO!$B$14</f>
        <v>SERVIÇOS PRELIMINARES</v>
      </c>
      <c r="C11" s="169"/>
      <c r="D11" s="169"/>
      <c r="E11" s="169"/>
    </row>
    <row r="12" spans="1:12" ht="21.75" customHeight="1">
      <c r="A12" s="71" t="str">
        <f>ORÇAMENTO!$A$15</f>
        <v>1.1</v>
      </c>
      <c r="B12" s="72" t="str">
        <f>ORÇAMENTO!$B$15</f>
        <v>PLACA DE OBRA EM CHAPA DE ACO GALVANIZADO</v>
      </c>
      <c r="C12" s="69" t="str">
        <f>ORÇAMENTO!$D$15</f>
        <v>m²</v>
      </c>
      <c r="D12" s="69">
        <f>ORÇAMENTO!$E$15</f>
        <v>6</v>
      </c>
      <c r="E12" s="68" t="s">
        <v>76</v>
      </c>
    </row>
    <row r="13" spans="1:12">
      <c r="A13" s="73" t="str">
        <f>ORÇAMENTO!$A$16</f>
        <v>2.0</v>
      </c>
      <c r="B13" s="70" t="str">
        <f>ORÇAMENTO!$B$16</f>
        <v>MOVIMENTO DE TERRA</v>
      </c>
      <c r="C13" s="170"/>
      <c r="D13" s="170"/>
      <c r="E13" s="170"/>
    </row>
    <row r="14" spans="1:12" ht="330.75" customHeight="1">
      <c r="A14" s="71" t="str">
        <f>ORÇAMENTO!A17</f>
        <v>2.1</v>
      </c>
      <c r="B14" s="72" t="str">
        <f>ORÇAMENTO!B17</f>
        <v>ESCAVAÇÃO MECANIZADA DE VALA COM PROF. MAIOR QUE 3,0 M ATÉ 4,5 M(MÉDIA ENTRE MONTANTE E JUSANTE/UMA COMPOSIÇÃO POR TRECHO), COM ESCAVADEIRA HIDRÁULICA (0,8 M3/111 HP), LARG. MENOR QUE 1,5 M, EM SOLO DE 1A CATEGORIA, EM LOCAIS COM ALTO NÍVEL DE INTERFERÊNCIA. AF_02/2021</v>
      </c>
      <c r="C14" s="89" t="str">
        <f>ORÇAMENTO!D17</f>
        <v>m³</v>
      </c>
      <c r="D14" s="89">
        <f>ORÇAMENTO!E17</f>
        <v>27635.77</v>
      </c>
      <c r="E14" s="79" t="s">
        <v>214</v>
      </c>
      <c r="G14" s="80">
        <f>13041.36+4342.35+780.58+4943.04+5023.2</f>
        <v>28130.530000000002</v>
      </c>
      <c r="K14">
        <f>24*13</f>
        <v>312</v>
      </c>
      <c r="L14">
        <f>12*19</f>
        <v>228</v>
      </c>
    </row>
    <row r="15" spans="1:12" ht="120">
      <c r="A15" s="71" t="str">
        <f>ORÇAMENTO!A18</f>
        <v>2.2</v>
      </c>
      <c r="B15" s="72" t="str">
        <f>ORÇAMENTO!B18</f>
        <v>REATERRO MECANIZADO DE VALA COM ESCAVADEIRA HIDRÁULICA (CAPACIDADE DA CAÇAMBA: 0,8 M³ / POTÊNCIA: 111 HP), LARGURA DE 1,5 A 2,5 M, PROFUNDIDADE DE 1,5 A 3,0 M, COM SOLO DE 1ª CATEGORIA EM LOCAIS COM ALTO NÍVEL DE INTERFERÊNCIA. AF_04/2016</v>
      </c>
      <c r="C15" s="116" t="str">
        <f>ORÇAMENTO!D18</f>
        <v>m³</v>
      </c>
      <c r="D15" s="116">
        <f>ORÇAMENTO!E18</f>
        <v>26732.7</v>
      </c>
      <c r="E15" s="79" t="s">
        <v>215</v>
      </c>
      <c r="G15">
        <f>1.25*1.25</f>
        <v>1.5625</v>
      </c>
      <c r="H15">
        <f>G15*3.14*540</f>
        <v>2649.375</v>
      </c>
      <c r="K15">
        <f>K14+L14</f>
        <v>540</v>
      </c>
    </row>
    <row r="16" spans="1:12" ht="90">
      <c r="A16" s="71" t="str">
        <f>ORÇAMENTO!A19</f>
        <v>2.3</v>
      </c>
      <c r="B16" s="72" t="str">
        <f>ORÇAMENTO!B19</f>
        <v>ESCAVAÇÃO MECANIZADA DE VALA COM PROF. MAIOR QUE 4,5 M ATÉ 6,0 M(MÉDIA ENTRE MONTANTE E JUSANTE/UMA COMPOSIÇÃO POR TRECHO), COM ESCAVADEIRA HIDRÁULICA (1,2 M3/155 HP), LARG. DE 1,5 M A 2,5 M, EM SOLO DE 1A CATEGORIA, EM LOCAIS COM ALTO NÍVEL DE INTERFERÊNCIA. AF_02/2021</v>
      </c>
      <c r="C16" s="116" t="str">
        <f>ORÇAMENTO!D19</f>
        <v>m³</v>
      </c>
      <c r="D16" s="116">
        <v>4800</v>
      </c>
      <c r="E16" s="119" t="s">
        <v>208</v>
      </c>
      <c r="F16" s="121">
        <f>5*2.5*12*32</f>
        <v>4800</v>
      </c>
    </row>
    <row r="17" spans="1:7" ht="90">
      <c r="A17" s="71" t="str">
        <f>ORÇAMENTO!A20</f>
        <v>2.4</v>
      </c>
      <c r="B17" s="72" t="str">
        <f>ORÇAMENTO!B20</f>
        <v>REATERRO MECANIZADO DE VALA COM ESCAVADEIRA HIDRÁULICA (CAPACIDADE DA CAÇAMBA: 0,8 M³ / POTÊNCIA: 111 HP), LARGURA DE 1,5 A 2,5 M, PROFUNDIDADE DE 4,5 A 6,0 M, COM SOLO DE 1ª CATEGORIA EM LOCAIS COM ALTO NÍVEL DE INTERFERÊNCIA. AF_04/2016</v>
      </c>
      <c r="C17" s="116" t="str">
        <f>ORÇAMENTO!D20</f>
        <v>m³</v>
      </c>
      <c r="D17" s="116">
        <v>4800</v>
      </c>
      <c r="E17" s="119" t="s">
        <v>209</v>
      </c>
      <c r="F17" s="121">
        <f>5*2.5*12*32</f>
        <v>4800</v>
      </c>
    </row>
    <row r="18" spans="1:7" ht="45">
      <c r="A18" s="71" t="str">
        <f>ORÇAMENTO!A21</f>
        <v>2.5</v>
      </c>
      <c r="B18" s="72" t="str">
        <f>ORÇAMENTO!B21</f>
        <v>ESCAVAÇÃO HORIZONTAL (LEITO), INCLUINDO ESCARIFICAÇÃO EM SOLO DE 2A CATEGORIA COM TRATOR DE ESTEIRAS (170HP/LÂMINA: 5,20M3). AF_07/2020</v>
      </c>
      <c r="C18" s="116" t="str">
        <f>ORÇAMENTO!D21</f>
        <v>m³</v>
      </c>
      <c r="D18" s="116">
        <v>18075</v>
      </c>
      <c r="E18" s="119" t="s">
        <v>225</v>
      </c>
      <c r="F18">
        <f>125*60.25*12*0.2</f>
        <v>18075</v>
      </c>
    </row>
    <row r="19" spans="1:7" ht="30">
      <c r="A19" s="71" t="str">
        <f>ORÇAMENTO!A22</f>
        <v>2.6</v>
      </c>
      <c r="B19" s="72" t="str">
        <f>ORÇAMENTO!B22</f>
        <v>REGULARIZAÇÃO E COMPACTAÇÃO DE SUBLEITO DE SOLO  PREDOMINANTEMENTE ARGILOSO (LEITO). AF_11/2019</v>
      </c>
      <c r="C19" s="116" t="str">
        <f>ORÇAMENTO!D22</f>
        <v>m²</v>
      </c>
      <c r="D19" s="116">
        <v>90375</v>
      </c>
      <c r="E19" s="119" t="s">
        <v>224</v>
      </c>
      <c r="F19">
        <f>125*60.25*12</f>
        <v>90375</v>
      </c>
    </row>
    <row r="20" spans="1:7" ht="45">
      <c r="A20" s="71" t="str">
        <f>ORÇAMENTO!A23</f>
        <v>2.7</v>
      </c>
      <c r="B20" s="72" t="str">
        <f>ORÇAMENTO!B23</f>
        <v>ESCAVAÇÃO HORIZONTAL EM SOLO DE 1A CATEGORIA COM TRATOR DE ESTEIRAS (125HP/LÂMINA: 2,70M3) (SUB-BASE). AF_07/2020</v>
      </c>
      <c r="C20" s="116" t="str">
        <f>ORÇAMENTO!D23</f>
        <v>m³</v>
      </c>
      <c r="D20" s="116">
        <v>9037.5</v>
      </c>
      <c r="E20" s="119" t="s">
        <v>223</v>
      </c>
      <c r="F20">
        <f>125*60.25*12*0.1</f>
        <v>9037.5</v>
      </c>
    </row>
    <row r="21" spans="1:7" ht="30">
      <c r="A21" s="71" t="str">
        <f>ORÇAMENTO!A24</f>
        <v>2.8</v>
      </c>
      <c r="B21" s="72" t="str">
        <f>ORÇAMENTO!B24</f>
        <v>REGULARIZAÇÃO DE SUPERFÍCIES COM MOTONIVELADORA (SUB-BASE). AF_11/2019</v>
      </c>
      <c r="C21" s="116" t="str">
        <f>ORÇAMENTO!D24</f>
        <v>m²</v>
      </c>
      <c r="D21" s="116">
        <v>90083.89</v>
      </c>
      <c r="E21" s="119" t="s">
        <v>227</v>
      </c>
      <c r="F21">
        <f>125*60.055895*12</f>
        <v>90083.842499999999</v>
      </c>
    </row>
    <row r="22" spans="1:7" ht="30">
      <c r="A22" s="71" t="str">
        <f>ORÇAMENTO!A25</f>
        <v>2.9</v>
      </c>
      <c r="B22" s="72" t="str">
        <f>ORÇAMENTO!B25</f>
        <v>TRANSPORTE COM CAMINHÃO BASCULANTE DE 18m³ - DMT = 3,0 km</v>
      </c>
      <c r="C22" s="116" t="str">
        <f>ORÇAMENTO!D25</f>
        <v>M³/KM</v>
      </c>
      <c r="D22" s="116">
        <v>33890.6</v>
      </c>
      <c r="E22" s="119" t="s">
        <v>226</v>
      </c>
      <c r="F22">
        <f>125*60.25*12*0.1*1.25*3</f>
        <v>33890.625</v>
      </c>
      <c r="G22">
        <f>125*0.1*18*0.3</f>
        <v>67.5</v>
      </c>
    </row>
    <row r="23" spans="1:7" ht="28.15" customHeight="1" thickBot="1">
      <c r="A23" s="71" t="str">
        <f>ORÇAMENTO!A26</f>
        <v>2.10</v>
      </c>
      <c r="B23" s="72" t="str">
        <f>ORÇAMENTO!B26</f>
        <v>REGULARIZAÇÃO E COMPACTAÇÃO DE SOLO. (BASE)</v>
      </c>
      <c r="C23" s="116" t="str">
        <f>ORÇAMENTO!D26</f>
        <v>m²</v>
      </c>
      <c r="D23" s="116">
        <v>90375</v>
      </c>
      <c r="E23" s="120" t="s">
        <v>222</v>
      </c>
      <c r="F23">
        <f>125*60.25*12</f>
        <v>90375</v>
      </c>
    </row>
    <row r="24" spans="1:7" ht="27" customHeight="1">
      <c r="A24" s="73" t="str">
        <f>ORÇAMENTO!A27</f>
        <v>3.0</v>
      </c>
      <c r="B24" s="74" t="str">
        <f>ORÇAMENTO!B27</f>
        <v>GALERIAS EM TUBO CIRCULAR DE AÇO ARMCO STACO</v>
      </c>
      <c r="C24" s="173"/>
      <c r="D24" s="173"/>
      <c r="E24" s="173"/>
    </row>
    <row r="25" spans="1:7" ht="22.9" customHeight="1">
      <c r="A25" s="73" t="str">
        <f>ORÇAMENTO!A28</f>
        <v>3.1</v>
      </c>
      <c r="B25" s="74" t="str">
        <f>ORÇAMENTO!B28</f>
        <v>GALERIA SIMPLES - DN: Ø 2500 mm (19 und)</v>
      </c>
      <c r="C25" s="173"/>
      <c r="D25" s="173"/>
      <c r="E25" s="173"/>
    </row>
    <row r="26" spans="1:7" ht="30">
      <c r="A26" s="71" t="s">
        <v>59</v>
      </c>
      <c r="B26" s="72" t="str">
        <f>ORÇAMENTO!B29</f>
        <v>CONCRETO CICLÓPICO FCK = 15MPA, 30% PEDRA DE MÃO EM VOLUME REAL, INCLUSIVE LANÇAMENTO. AF_05/2021</v>
      </c>
      <c r="C26" s="89" t="str">
        <f>ORÇAMENTO!D29</f>
        <v>m³</v>
      </c>
      <c r="D26" s="89">
        <f>ORÇAMENTO!E29</f>
        <v>78.28</v>
      </c>
      <c r="E26" s="78" t="s">
        <v>130</v>
      </c>
    </row>
    <row r="27" spans="1:7" ht="30">
      <c r="A27" s="71" t="s">
        <v>60</v>
      </c>
      <c r="B27" s="72" t="str">
        <f>ORÇAMENTO!B30</f>
        <v>BUEIRO METÁLICO COM CHAPAS MÚLTIPLAS MP 100 GALVANIZADAS - D = 2,50 M - BRITA COMERCIAL</v>
      </c>
      <c r="C27" s="89" t="str">
        <f>ORÇAMENTO!D30</f>
        <v>m</v>
      </c>
      <c r="D27" s="89">
        <f>ORÇAMENTO!E30</f>
        <v>228</v>
      </c>
      <c r="E27" s="78" t="s">
        <v>212</v>
      </c>
      <c r="G27">
        <f>12*19</f>
        <v>228</v>
      </c>
    </row>
    <row r="28" spans="1:7" ht="30">
      <c r="A28" s="71" t="s">
        <v>61</v>
      </c>
      <c r="B28" s="72" t="str">
        <f>ORÇAMENTO!B31</f>
        <v>FORMA PARA CONCRETO EM CHAPA MAD. COMPENSADAS-ESTRUTURAS ESPECIAIS</v>
      </c>
      <c r="C28" s="89" t="str">
        <f>ORÇAMENTO!D31</f>
        <v>m²</v>
      </c>
      <c r="D28" s="89">
        <f>ORÇAMENTO!E31</f>
        <v>2473.42</v>
      </c>
      <c r="E28" s="78" t="s">
        <v>131</v>
      </c>
    </row>
    <row r="29" spans="1:7" ht="60">
      <c r="A29" s="71" t="s">
        <v>81</v>
      </c>
      <c r="B29" s="72" t="str">
        <f>ORÇAMENTO!B32</f>
        <v>ARMAÇÃO DE ESTRUTURAS DE CONCRETO ARMADO, EXCETO VIGAS, PILARES, LAJES E FUNDAÇÕES, UTILIZANDO AÇO CA-50 DE 6,3 MM - MONTAGEM. AF_12/2015</v>
      </c>
      <c r="C29" s="89" t="str">
        <f>ORÇAMENTO!D32</f>
        <v>KG</v>
      </c>
      <c r="D29" s="89">
        <f>ORÇAMENTO!E32</f>
        <v>7613.11</v>
      </c>
      <c r="E29" s="78" t="s">
        <v>132</v>
      </c>
    </row>
    <row r="30" spans="1:7" ht="60">
      <c r="A30" s="71" t="s">
        <v>82</v>
      </c>
      <c r="B30" s="72" t="str">
        <f>ORÇAMENTO!B33</f>
        <v>ARMAÇÃO DE ESTRUTURAS DE CONCRETO ARMADO, EXCETO VIGAS, PILARES, LAJES E FUNDAÇÕES, UTILIZANDO AÇO CA-50 DE 8,0 MM - MONTAGEM. AF_12/2016</v>
      </c>
      <c r="C30" s="89" t="str">
        <f>ORÇAMENTO!D33</f>
        <v>KG</v>
      </c>
      <c r="D30" s="89">
        <f>ORÇAMENTO!E33</f>
        <v>5848.7699999999995</v>
      </c>
      <c r="E30" s="78" t="s">
        <v>138</v>
      </c>
    </row>
    <row r="31" spans="1:7" ht="60">
      <c r="A31" s="71" t="s">
        <v>86</v>
      </c>
      <c r="B31" s="72" t="str">
        <f>ORÇAMENTO!B34</f>
        <v>ARMAÇÃO DE ESTRUTURAS DE CONCRETO ARMADO, EXCETO VIGAS, PILARES, LAJES E FUNDAÇÕES, UTILIZANDO AÇO CA-50 DE 10,0 MM - MONTAGEM. AF_12/2017</v>
      </c>
      <c r="C31" s="89" t="str">
        <f>ORÇAMENTO!D34</f>
        <v>KG</v>
      </c>
      <c r="D31" s="89">
        <f>ORÇAMENTO!E34</f>
        <v>6958.75</v>
      </c>
      <c r="E31" s="78" t="s">
        <v>139</v>
      </c>
    </row>
    <row r="32" spans="1:7" ht="60">
      <c r="A32" s="71" t="s">
        <v>87</v>
      </c>
      <c r="B32" s="72" t="str">
        <f>ORÇAMENTO!B35</f>
        <v>ARMAÇÃO DE ESTRUTURAS DE CONCRETO ARMADO, EXCETO VIGAS, PILARES, LAJES E FUNDAÇÕES, UTILIZANDO AÇO CA-50 DE 12,5 MM - MONTAGEM. AF_12/2018</v>
      </c>
      <c r="C32" s="89" t="str">
        <f>ORÇAMENTO!D35</f>
        <v>KG</v>
      </c>
      <c r="D32" s="89">
        <f>ORÇAMENTO!E35</f>
        <v>5240.58</v>
      </c>
      <c r="E32" s="78" t="s">
        <v>140</v>
      </c>
    </row>
    <row r="33" spans="1:7" ht="60">
      <c r="A33" s="71" t="s">
        <v>88</v>
      </c>
      <c r="B33" s="72" t="str">
        <f>ORÇAMENTO!B36</f>
        <v>ARMAÇÃO DE ESTRUTURAS DE CONCRETO ARMADO, EXCETO VIGAS, PILARES, LAJES E FUNDAÇÕES, UTILIZANDO AÇO CA-50 DE 16,0 MM - MONTAGEM. AF_12/2019</v>
      </c>
      <c r="C33" s="89" t="str">
        <f>ORÇAMENTO!D36</f>
        <v>KG</v>
      </c>
      <c r="D33" s="89">
        <f>ORÇAMENTO!E36</f>
        <v>1309.8599999999999</v>
      </c>
      <c r="E33" s="79" t="s">
        <v>141</v>
      </c>
    </row>
    <row r="34" spans="1:7" ht="45">
      <c r="A34" s="71" t="s">
        <v>89</v>
      </c>
      <c r="B34" s="72" t="str">
        <f>ORÇAMENTO!B37</f>
        <v>CONCRETO FCK = 30MPA, TRAÇO 1:2,1:2,5 (CIMENTO/ AREIA MÉDIA/ BRITA 1)- PREPARO MECÂNICO COM BETONEIRA 400 L. AF_07/2016</v>
      </c>
      <c r="C34" s="89" t="str">
        <f>ORÇAMENTO!D37</f>
        <v>m³</v>
      </c>
      <c r="D34" s="89">
        <f>ORÇAMENTO!E37</f>
        <v>483.92999999999995</v>
      </c>
      <c r="E34" s="78" t="s">
        <v>142</v>
      </c>
    </row>
    <row r="35" spans="1:7" ht="25.9" customHeight="1">
      <c r="A35" s="71" t="s">
        <v>90</v>
      </c>
      <c r="B35" s="72" t="str">
        <f>ORÇAMENTO!B38</f>
        <v>DESFORMA</v>
      </c>
      <c r="C35" s="89" t="str">
        <f>ORÇAMENTO!D38</f>
        <v>m²</v>
      </c>
      <c r="D35" s="89">
        <f>ORÇAMENTO!E38</f>
        <v>2473.42</v>
      </c>
      <c r="E35" s="78" t="s">
        <v>143</v>
      </c>
    </row>
    <row r="36" spans="1:7" ht="29.45" customHeight="1">
      <c r="A36" s="73" t="str">
        <f>ORÇAMENTO!A39</f>
        <v>3.2</v>
      </c>
      <c r="B36" s="74" t="str">
        <f>ORÇAMENTO!B39</f>
        <v>GALERIA DUPLA - DN: Ø 2500 mm (13 und)</v>
      </c>
      <c r="C36" s="173"/>
      <c r="D36" s="173"/>
      <c r="E36" s="173"/>
    </row>
    <row r="37" spans="1:7" ht="30">
      <c r="A37" s="92" t="str">
        <f>ORÇAMENTO!A40</f>
        <v>3.2.1</v>
      </c>
      <c r="B37" s="93" t="str">
        <f>ORÇAMENTO!B40</f>
        <v>CONCRETO CICLOPICO FCK=10MPA 30% PEDRA DE MAO INCLUSIVE LANCAMENTO</v>
      </c>
      <c r="C37" s="89" t="str">
        <f>ORÇAMENTO!D40</f>
        <v>m³</v>
      </c>
      <c r="D37" s="89">
        <f>ORÇAMENTO!E40</f>
        <v>83.72</v>
      </c>
      <c r="E37" s="89" t="s">
        <v>144</v>
      </c>
    </row>
    <row r="38" spans="1:7" ht="30">
      <c r="A38" s="92" t="str">
        <f>ORÇAMENTO!A41</f>
        <v>3.2.2</v>
      </c>
      <c r="B38" s="93" t="str">
        <f>ORÇAMENTO!B41</f>
        <v>BUEIRO METÁLICO COM CHAPAS MÚLTIPLAS MP 100 GALVANIZADAS - D = 2,50 M - BRITA COMERCIAL</v>
      </c>
      <c r="C38" s="89" t="str">
        <f>ORÇAMENTO!D41</f>
        <v>m</v>
      </c>
      <c r="D38" s="89">
        <f>ORÇAMENTO!E41</f>
        <v>312</v>
      </c>
      <c r="E38" s="89" t="s">
        <v>213</v>
      </c>
      <c r="F38" s="85"/>
    </row>
    <row r="39" spans="1:7" ht="30">
      <c r="A39" s="92" t="str">
        <f>ORÇAMENTO!A42</f>
        <v>3.2.3</v>
      </c>
      <c r="B39" s="93" t="str">
        <f>ORÇAMENTO!B42</f>
        <v>FORMA PARA CONCRETO EM CHAPA MAD. COMPENSADAS-ESTRUTURAS ESPECIAIS</v>
      </c>
      <c r="C39" s="89" t="str">
        <f>ORÇAMENTO!D42</f>
        <v>m²</v>
      </c>
      <c r="D39" s="89">
        <f>ORÇAMENTO!E42</f>
        <v>1934.53</v>
      </c>
      <c r="E39" s="89" t="s">
        <v>145</v>
      </c>
      <c r="F39" s="85"/>
    </row>
    <row r="40" spans="1:7" ht="60">
      <c r="A40" s="92" t="str">
        <f>ORÇAMENTO!A43</f>
        <v>3.2.4</v>
      </c>
      <c r="B40" s="93" t="str">
        <f>ORÇAMENTO!B43</f>
        <v>ARMAÇÃO DE ESTRUTURAS DE CONCRETO ARMADO, EXCETO VIGAS, PILARES, LAJES E FUNDAÇÕES, UTILIZANDO AÇO CA-50 DE 6,3 MM - MONTAGEM. AF_12/2015</v>
      </c>
      <c r="C40" s="89" t="str">
        <f>ORÇAMENTO!D43</f>
        <v>KG</v>
      </c>
      <c r="D40" s="89">
        <f>ORÇAMENTO!E43</f>
        <v>6772.6100000000006</v>
      </c>
      <c r="E40" s="89" t="s">
        <v>147</v>
      </c>
      <c r="F40" s="110"/>
    </row>
    <row r="41" spans="1:7" ht="60">
      <c r="A41" s="92" t="str">
        <f>ORÇAMENTO!A44</f>
        <v>3.2.5</v>
      </c>
      <c r="B41" s="93" t="str">
        <f>ORÇAMENTO!B44</f>
        <v>ARMAÇÃO DE ESTRUTURAS DE CONCRETO ARMADO, EXCETO VIGAS, PILARES, LAJES E FUNDAÇÕES, UTILIZANDO AÇO CA-50 DE 8,0 MM - MONTAGEM. AF_12/2016</v>
      </c>
      <c r="C41" s="89" t="str">
        <f>ORÇAMENTO!D44</f>
        <v>KG</v>
      </c>
      <c r="D41" s="89">
        <f>ORÇAMENTO!E44</f>
        <v>4001.79</v>
      </c>
      <c r="E41" s="89" t="s">
        <v>146</v>
      </c>
      <c r="F41" s="110"/>
      <c r="G41" s="1"/>
    </row>
    <row r="42" spans="1:7" ht="60">
      <c r="A42" s="92" t="str">
        <f>ORÇAMENTO!A45</f>
        <v>3.2.6</v>
      </c>
      <c r="B42" s="93" t="str">
        <f>ORÇAMENTO!B45</f>
        <v>ARMAÇÃO DE ESTRUTURAS DE CONCRETO ARMADO, EXCETO VIGAS, PILARES, LAJES E FUNDAÇÕES, UTILIZANDO AÇO CA-50 DE 10,0 MM - MONTAGEM. AF_12/2017</v>
      </c>
      <c r="C42" s="89" t="str">
        <f>ORÇAMENTO!D45</f>
        <v>KG</v>
      </c>
      <c r="D42" s="89">
        <f>ORÇAMENTO!E45</f>
        <v>4761.25</v>
      </c>
      <c r="E42" s="89" t="s">
        <v>148</v>
      </c>
      <c r="F42" s="110"/>
      <c r="G42" s="1"/>
    </row>
    <row r="43" spans="1:7" ht="60">
      <c r="A43" s="92" t="str">
        <f>ORÇAMENTO!A46</f>
        <v>3.2.7</v>
      </c>
      <c r="B43" s="93" t="str">
        <f>ORÇAMENTO!B46</f>
        <v>ARMAÇÃO DE ESTRUTURAS DE CONCRETO ARMADO, EXCETO VIGAS, PILARES, LAJES E FUNDAÇÕES, UTILIZANDO AÇO CA-50 DE 12,5 MM - MONTAGEM. AF_12/2018</v>
      </c>
      <c r="C43" s="89" t="str">
        <f>ORÇAMENTO!D46</f>
        <v>KG</v>
      </c>
      <c r="D43" s="89">
        <f>ORÇAMENTO!E46</f>
        <v>3878.29</v>
      </c>
      <c r="E43" s="89" t="s">
        <v>149</v>
      </c>
      <c r="F43" s="110"/>
    </row>
    <row r="44" spans="1:7" ht="60">
      <c r="A44" s="92" t="str">
        <f>ORÇAMENTO!A47</f>
        <v>3.2.8</v>
      </c>
      <c r="B44" s="93" t="str">
        <f>ORÇAMENTO!B47</f>
        <v>ARMAÇÃO DE ESTRUTURAS DE CONCRETO ARMADO, EXCETO VIGAS, PILARES, LAJES E FUNDAÇÕES, UTILIZANDO AÇO CA-50 DE 16,0 MM - MONTAGEM. AF_12/2019</v>
      </c>
      <c r="C44" s="89" t="str">
        <f>ORÇAMENTO!D47</f>
        <v>KG</v>
      </c>
      <c r="D44" s="89">
        <f>ORÇAMENTO!E47</f>
        <v>1580.67</v>
      </c>
      <c r="E44" s="89" t="s">
        <v>150</v>
      </c>
      <c r="F44" s="110"/>
    </row>
    <row r="45" spans="1:7" ht="45">
      <c r="A45" s="92" t="str">
        <f>ORÇAMENTO!A48</f>
        <v>3.2.9</v>
      </c>
      <c r="B45" s="93" t="str">
        <f>ORÇAMENTO!B48</f>
        <v>CONCRETO FCK = 30MPA, TRAÇO 1:2,1:2,5 (CIMENTO/ AREIA MÉDIA/ BRITA 1)- PREPARO MECÂNICO COM BETONEIRA 400 L. AF_07/2016</v>
      </c>
      <c r="C45" s="89" t="str">
        <f>ORÇAMENTO!D48</f>
        <v>m³</v>
      </c>
      <c r="D45" s="89">
        <f>ORÇAMENTO!E48</f>
        <v>405.86</v>
      </c>
      <c r="E45" s="89" t="s">
        <v>151</v>
      </c>
      <c r="F45" s="111"/>
    </row>
    <row r="46" spans="1:7" ht="22.15" customHeight="1">
      <c r="A46" s="92" t="str">
        <f>ORÇAMENTO!A49</f>
        <v>3.2.10</v>
      </c>
      <c r="B46" s="93" t="str">
        <f>ORÇAMENTO!B49</f>
        <v>DESFORMA</v>
      </c>
      <c r="C46" s="89" t="str">
        <f>ORÇAMENTO!D49</f>
        <v>m³</v>
      </c>
      <c r="D46" s="89">
        <f>ORÇAMENTO!E49</f>
        <v>1934.53</v>
      </c>
      <c r="E46" s="89" t="s">
        <v>145</v>
      </c>
      <c r="F46" s="111"/>
    </row>
    <row r="47" spans="1:7" ht="28.15" customHeight="1">
      <c r="A47" s="92">
        <f>ORÇAMENTO!A50</f>
        <v>4</v>
      </c>
      <c r="B47" s="74" t="str">
        <f>ORÇAMENTO!B50</f>
        <v>BUEIROS TUBULAR DE CONCRETO ARMADO</v>
      </c>
      <c r="C47" s="173"/>
      <c r="D47" s="173"/>
      <c r="E47" s="173"/>
    </row>
    <row r="48" spans="1:7" ht="28.9" customHeight="1">
      <c r="A48" s="92" t="str">
        <f>ORÇAMENTO!A51</f>
        <v>4.1</v>
      </c>
      <c r="B48" s="74" t="str">
        <f>ORÇAMENTO!B51</f>
        <v>BUEIRO SIMPLES DN: Ø1000 mm (72 pts)</v>
      </c>
      <c r="C48" s="174"/>
      <c r="D48" s="174"/>
      <c r="E48" s="174"/>
    </row>
    <row r="49" spans="1:7" ht="45">
      <c r="A49" s="92" t="str">
        <f>ORÇAMENTO!A52</f>
        <v>4.1.1</v>
      </c>
      <c r="B49" s="93" t="str">
        <f>ORÇAMENTO!B52</f>
        <v>CONCRETO MAGRO PARA LASTRO, TRAÇO 1:4,5:4,5 (CIMENTO/ AREIA MÉDIA/ BRITA 1) - PREPARO MECÂNICO COM BETONEIRA 600 L. AF_07/2016</v>
      </c>
      <c r="C49" s="115" t="str">
        <f>ORÇAMENTO!D52</f>
        <v>m³</v>
      </c>
      <c r="D49" s="115">
        <f>ORÇAMENTO!E52</f>
        <v>398.88</v>
      </c>
      <c r="E49" s="108" t="s">
        <v>179</v>
      </c>
      <c r="F49">
        <v>5.54</v>
      </c>
      <c r="G49">
        <f>F49*72</f>
        <v>398.88</v>
      </c>
    </row>
    <row r="50" spans="1:7" ht="30">
      <c r="A50" s="92" t="str">
        <f>ORÇAMENTO!A53</f>
        <v>4.1.2</v>
      </c>
      <c r="B50" s="93" t="str">
        <f>ORÇAMENTO!B53</f>
        <v>CONCRETO CICLOPICO FCK=10MPA 30% PEDRA DE MAO INCLUSIVE LANCAMENTO</v>
      </c>
      <c r="C50" s="115" t="str">
        <f>ORÇAMENTO!D53</f>
        <v>m³</v>
      </c>
      <c r="D50" s="115">
        <f>ORÇAMENTO!E53</f>
        <v>517.68000000000006</v>
      </c>
      <c r="E50" s="115" t="s">
        <v>180</v>
      </c>
      <c r="F50">
        <v>7.19</v>
      </c>
      <c r="G50">
        <f t="shared" ref="G50:G52" si="0">F50*72</f>
        <v>517.68000000000006</v>
      </c>
    </row>
    <row r="51" spans="1:7" ht="75">
      <c r="A51" s="92" t="str">
        <f>ORÇAMENTO!A54</f>
        <v>4.1.3</v>
      </c>
      <c r="B51" s="93" t="str">
        <f>ORÇAMENTO!B54</f>
        <v>TUBO DE CONCRETO PARA REDES COLETORAS DE ÁGUAS PLUVIAIS, DIÂMETRO DE 1000 MM, JUNTA RÍGIDA, INSTALADO EM LOCAL COM ALTO NÍVEL DE INTERFERÊNCIAS - FORNECIMENTO E ASSENTAMENTO. AF_12/2015</v>
      </c>
      <c r="C51" s="90" t="str">
        <f>ORÇAMENTO!D54</f>
        <v>m</v>
      </c>
      <c r="D51" s="90">
        <f>ORÇAMENTO!E54</f>
        <v>1296</v>
      </c>
      <c r="E51" s="109" t="s">
        <v>166</v>
      </c>
      <c r="F51">
        <v>72</v>
      </c>
      <c r="G51">
        <f>F51*18</f>
        <v>1296</v>
      </c>
    </row>
    <row r="52" spans="1:7" ht="30">
      <c r="A52" s="92" t="str">
        <f>ORÇAMENTO!A55</f>
        <v>4.1.4</v>
      </c>
      <c r="B52" s="93" t="str">
        <f>ORÇAMENTO!B55</f>
        <v>FORMA PARA CONCRETO EM CHAPA MAD. COMPENSADAS-ESTRUTURAS ESPECIAIS</v>
      </c>
      <c r="C52" s="90" t="str">
        <f>ORÇAMENTO!D55</f>
        <v>m²</v>
      </c>
      <c r="D52" s="90">
        <f>ORÇAMENTO!E55</f>
        <v>2800.08</v>
      </c>
      <c r="E52" s="115" t="s">
        <v>181</v>
      </c>
      <c r="F52">
        <v>38.89</v>
      </c>
      <c r="G52">
        <f t="shared" si="0"/>
        <v>2800.08</v>
      </c>
    </row>
    <row r="53" spans="1:7" ht="25.15" customHeight="1">
      <c r="A53" s="92" t="str">
        <f>ORÇAMENTO!A56</f>
        <v>4.2</v>
      </c>
      <c r="B53" s="74" t="str">
        <f>ORÇAMENTO!B56</f>
        <v>BUEIRO DUPLO DN: Ø1200 mm (15 pts)</v>
      </c>
      <c r="C53" s="174"/>
      <c r="D53" s="174"/>
      <c r="E53" s="174"/>
    </row>
    <row r="54" spans="1:7" ht="45">
      <c r="A54" s="92" t="str">
        <f>ORÇAMENTO!A57</f>
        <v>4.2.1</v>
      </c>
      <c r="B54" s="93" t="str">
        <f>ORÇAMENTO!B57</f>
        <v>CONCRETO MAGRO PARA LASTRO, TRAÇO 1:4,5:4,5 (CIMENTO/ AREIA MÉDIA/ BRITA 1) - PREPARO MECÂNICO COM BETONEIRA 600 L. AF_07/2016</v>
      </c>
      <c r="C54" s="90" t="str">
        <f>ORÇAMENTO!D57</f>
        <v>m³</v>
      </c>
      <c r="D54" s="90">
        <f>ORÇAMENTO!E57</f>
        <v>201.3</v>
      </c>
      <c r="E54" s="108" t="s">
        <v>167</v>
      </c>
      <c r="F54">
        <v>13.42</v>
      </c>
    </row>
    <row r="55" spans="1:7" ht="30">
      <c r="A55" s="92" t="str">
        <f>ORÇAMENTO!A58</f>
        <v>4.2.2</v>
      </c>
      <c r="B55" s="93" t="str">
        <f>ORÇAMENTO!B58</f>
        <v>CONCRETO CICLOPICO FCK=10MPA 30% PEDRA DE MAO INCLUSIVE LANCAMENTO</v>
      </c>
      <c r="C55" s="90" t="str">
        <f>ORÇAMENTO!D58</f>
        <v>m³</v>
      </c>
      <c r="D55" s="90">
        <f>ORÇAMENTO!E58</f>
        <v>177.89999999999998</v>
      </c>
      <c r="E55" s="90" t="s">
        <v>168</v>
      </c>
      <c r="F55">
        <v>11.86</v>
      </c>
    </row>
    <row r="56" spans="1:7" ht="75">
      <c r="A56" s="92" t="str">
        <f>ORÇAMENTO!A59</f>
        <v>4.2.3</v>
      </c>
      <c r="B56" s="93" t="str">
        <f>ORÇAMENTO!B59</f>
        <v>TUBO DE CONCRETO PARA REDES COLETORAS DE ÁGUAS PLUVIAIS, DIÂMETRO DE 1200 MM, JUNTA RÍGIDA, INSTALADO EM LOCAL COM BAIXO NÍVEL DE INTERFERÊNCIAS - FORNECIMENTO E ASSENTAMENTO. AF_12/2015</v>
      </c>
      <c r="C56" s="90" t="str">
        <f>ORÇAMENTO!D59</f>
        <v>m</v>
      </c>
      <c r="D56" s="90">
        <f>ORÇAMENTO!E59</f>
        <v>540</v>
      </c>
      <c r="E56" s="90" t="s">
        <v>177</v>
      </c>
      <c r="F56">
        <f>15*18*2</f>
        <v>540</v>
      </c>
    </row>
    <row r="57" spans="1:7" ht="30">
      <c r="A57" s="92" t="str">
        <f>ORÇAMENTO!A60</f>
        <v>4.2.4</v>
      </c>
      <c r="B57" s="93" t="str">
        <f>ORÇAMENTO!B60</f>
        <v>FORMA PARA CONCRETO EM CHAPA MAD. COMPENSADAS-ESTRUTURAS ESPECIAIS</v>
      </c>
      <c r="C57" s="90" t="str">
        <f>ORÇAMENTO!D60</f>
        <v>m²</v>
      </c>
      <c r="D57" s="90">
        <f>ORÇAMENTO!E60</f>
        <v>827.4</v>
      </c>
      <c r="E57" s="90" t="s">
        <v>178</v>
      </c>
      <c r="F57">
        <v>55.16</v>
      </c>
      <c r="G57">
        <f>55.16*15</f>
        <v>827.4</v>
      </c>
    </row>
    <row r="58" spans="1:7" ht="26.45" customHeight="1">
      <c r="A58" s="73" t="str">
        <f>ORÇAMENTO!A61</f>
        <v>4.3</v>
      </c>
      <c r="B58" s="74" t="str">
        <f>ORÇAMENTO!B61</f>
        <v>BUEIRO TRIPLO DN: Ø1200 mm (2 pts)</v>
      </c>
      <c r="C58" s="174"/>
      <c r="D58" s="174"/>
      <c r="E58" s="174"/>
    </row>
    <row r="59" spans="1:7" ht="45">
      <c r="A59" s="92" t="str">
        <f>ORÇAMENTO!A62</f>
        <v>4.3.1</v>
      </c>
      <c r="B59" s="93" t="str">
        <f>ORÇAMENTO!B62</f>
        <v>CONCRETO MAGRO PARA LASTRO, TRAÇO 1:4,5:4,5 (CIMENTO/ AREIA MÉDIA/ BRITA 1) - PREPARO MECÂNICO COM BETONEIRA 600 L. AF_07/2016</v>
      </c>
      <c r="C59" s="90" t="str">
        <f>ORÇAMENTO!D62</f>
        <v>m³</v>
      </c>
      <c r="D59" s="90">
        <f>ORÇAMENTO!E62</f>
        <v>39.44</v>
      </c>
      <c r="E59" s="109" t="s">
        <v>169</v>
      </c>
      <c r="F59">
        <v>19.72</v>
      </c>
    </row>
    <row r="60" spans="1:7" ht="30">
      <c r="A60" s="92" t="str">
        <f>ORÇAMENTO!A63</f>
        <v>4.3.2</v>
      </c>
      <c r="B60" s="93" t="str">
        <f>ORÇAMENTO!B63</f>
        <v>CONCRETO CICLOPICO FCK=10MPA 30% PEDRA DE MAO INCLUSIVE LANCAMENTO</v>
      </c>
      <c r="C60" s="90" t="str">
        <f>ORÇAMENTO!D63</f>
        <v>m³</v>
      </c>
      <c r="D60" s="90">
        <f>ORÇAMENTO!E63</f>
        <v>28.04</v>
      </c>
      <c r="E60" s="109" t="s">
        <v>170</v>
      </c>
      <c r="F60">
        <v>14.02</v>
      </c>
    </row>
    <row r="61" spans="1:7" ht="75">
      <c r="A61" s="92" t="str">
        <f>ORÇAMENTO!A64</f>
        <v>4.3.3</v>
      </c>
      <c r="B61" s="93" t="str">
        <f>ORÇAMENTO!B64</f>
        <v>TUBO DE CONCRETO PARA REDES COLETORAS DE ÁGUAS PLUVIAIS, DIÂMETRO DE 1200 MM, JUNTA RÍGIDA, INSTALADO EM LOCAL COM BAIXO NÍVEL DE INTERFERÊNCIAS - FORNECIMENTO E ASSENTAMENTO. AF_12/2015</v>
      </c>
      <c r="C61" s="90" t="str">
        <f>ORÇAMENTO!D64</f>
        <v>m</v>
      </c>
      <c r="D61" s="90">
        <f>ORÇAMENTO!E64</f>
        <v>108</v>
      </c>
      <c r="E61" s="109" t="s">
        <v>171</v>
      </c>
      <c r="F61">
        <v>108</v>
      </c>
    </row>
    <row r="62" spans="1:7" ht="30">
      <c r="A62" s="92" t="str">
        <f>ORÇAMENTO!A65</f>
        <v>4.3.4</v>
      </c>
      <c r="B62" s="93" t="str">
        <f>ORÇAMENTO!B65</f>
        <v>FORMA PARA CONCRETO EM CHAPA MAD. COMPENSADAS-ESTRUTURAS ESPECIAIS</v>
      </c>
      <c r="C62" s="90" t="str">
        <f>ORÇAMENTO!D65</f>
        <v>m²</v>
      </c>
      <c r="D62" s="90">
        <f>ORÇAMENTO!E65</f>
        <v>124.78</v>
      </c>
      <c r="E62" s="108" t="s">
        <v>172</v>
      </c>
      <c r="F62">
        <v>62.39</v>
      </c>
    </row>
    <row r="63" spans="1:7">
      <c r="A63" s="75"/>
      <c r="D63" s="77"/>
    </row>
    <row r="64" spans="1:7">
      <c r="D64" s="76"/>
    </row>
  </sheetData>
  <mergeCells count="15">
    <mergeCell ref="C24:E24"/>
    <mergeCell ref="C25:E25"/>
    <mergeCell ref="C36:E36"/>
    <mergeCell ref="C47:E47"/>
    <mergeCell ref="C58:E58"/>
    <mergeCell ref="C48:E48"/>
    <mergeCell ref="C53:E53"/>
    <mergeCell ref="A1:E5"/>
    <mergeCell ref="C11:E11"/>
    <mergeCell ref="C13:E13"/>
    <mergeCell ref="A9:E9"/>
    <mergeCell ref="A7:D7"/>
    <mergeCell ref="A6:D6"/>
    <mergeCell ref="A8:D8"/>
    <mergeCell ref="E7:E8"/>
  </mergeCells>
  <pageMargins left="0.51181102362204722" right="0.31496062992125984" top="0.39370078740157483" bottom="0.39370078740157483" header="0.31496062992125984" footer="0.31496062992125984"/>
  <pageSetup paperSize="9" scale="70" orientation="portrait" r:id="rId1"/>
  <rowBreaks count="2" manualBreakCount="2">
    <brk id="23" max="4" man="1"/>
    <brk id="4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10" zoomScale="70" zoomScaleNormal="90" zoomScaleSheetLayoutView="70" workbookViewId="0">
      <selection activeCell="E16" sqref="E16"/>
    </sheetView>
  </sheetViews>
  <sheetFormatPr defaultRowHeight="15"/>
  <cols>
    <col min="1" max="1" width="9.5703125" customWidth="1"/>
    <col min="2" max="2" width="39.42578125" customWidth="1"/>
    <col min="3" max="3" width="23.42578125" customWidth="1"/>
    <col min="4" max="4" width="11.28515625" customWidth="1"/>
    <col min="5" max="5" width="20.42578125" customWidth="1"/>
    <col min="6" max="6" width="20.7109375" customWidth="1"/>
    <col min="7" max="7" width="22.7109375" customWidth="1"/>
    <col min="8" max="8" width="23.42578125" customWidth="1"/>
    <col min="9" max="9" width="23.5703125" customWidth="1"/>
    <col min="10" max="10" width="23" customWidth="1"/>
    <col min="11" max="11" width="22.42578125" customWidth="1"/>
    <col min="12" max="12" width="23.5703125" customWidth="1"/>
  </cols>
  <sheetData>
    <row r="1" spans="1:12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</row>
    <row r="3" spans="1:12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5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21" customHeight="1">
      <c r="A5" s="140"/>
      <c r="B5" s="140"/>
      <c r="C5" s="140"/>
      <c r="D5" s="140"/>
      <c r="E5" s="140"/>
      <c r="F5" s="140"/>
      <c r="G5" s="140"/>
      <c r="H5" s="140"/>
      <c r="I5" s="140"/>
      <c r="J5" s="140"/>
      <c r="K5" s="140"/>
      <c r="L5" s="140"/>
    </row>
    <row r="6" spans="1:12" ht="15.75" thickBot="1">
      <c r="A6" s="210"/>
      <c r="B6" s="210"/>
      <c r="C6" s="210"/>
      <c r="D6" s="210"/>
      <c r="E6" s="210"/>
      <c r="F6" s="210"/>
      <c r="G6" s="210"/>
      <c r="H6" s="210"/>
      <c r="I6" s="210"/>
      <c r="J6" s="210"/>
      <c r="K6" s="210"/>
      <c r="L6" s="210"/>
    </row>
    <row r="7" spans="1:12" ht="29.25" customHeight="1" thickBot="1">
      <c r="A7" s="178" t="s">
        <v>0</v>
      </c>
      <c r="B7" s="179"/>
      <c r="C7" s="179"/>
      <c r="D7" s="179"/>
      <c r="E7" s="179"/>
      <c r="F7" s="179"/>
      <c r="G7" s="175" t="s">
        <v>211</v>
      </c>
      <c r="H7" s="176"/>
      <c r="I7" s="176"/>
      <c r="J7" s="176"/>
      <c r="K7" s="176"/>
      <c r="L7" s="177"/>
    </row>
    <row r="8" spans="1:12" ht="31.5" customHeight="1" thickTop="1" thickBot="1">
      <c r="A8" s="180" t="str">
        <f>ORÇAMENTO!A8</f>
        <v>OBRA: CONSTRUÇÃO DE OBRAS DE ARTES NA ESTRADA TRANSGARIMPEIRA</v>
      </c>
      <c r="B8" s="181"/>
      <c r="C8" s="181"/>
      <c r="D8" s="181"/>
      <c r="E8" s="181"/>
      <c r="F8" s="181"/>
      <c r="G8" s="186" t="s">
        <v>79</v>
      </c>
      <c r="H8" s="187"/>
      <c r="I8" s="187"/>
      <c r="J8" s="187"/>
      <c r="K8" s="187"/>
      <c r="L8" s="188"/>
    </row>
    <row r="9" spans="1:12" ht="27.75" customHeight="1" thickTop="1" thickBot="1">
      <c r="A9" s="180" t="s">
        <v>78</v>
      </c>
      <c r="B9" s="181"/>
      <c r="C9" s="181"/>
      <c r="D9" s="181"/>
      <c r="E9" s="181"/>
      <c r="F9" s="181"/>
      <c r="G9" s="189">
        <v>14433365.130000005</v>
      </c>
      <c r="H9" s="190"/>
      <c r="I9" s="190"/>
      <c r="J9" s="190"/>
      <c r="K9" s="190"/>
      <c r="L9" s="191"/>
    </row>
    <row r="10" spans="1:12" ht="16.5" thickTop="1" thickBot="1">
      <c r="A10" s="211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3"/>
    </row>
    <row r="11" spans="1:12" ht="17.45" customHeight="1">
      <c r="A11" s="199" t="s">
        <v>53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2" ht="15.75" thickBot="1">
      <c r="A12" s="202"/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4"/>
    </row>
    <row r="13" spans="1:12" ht="15.75">
      <c r="A13" s="197" t="s">
        <v>1</v>
      </c>
      <c r="B13" s="193" t="s">
        <v>2</v>
      </c>
      <c r="C13" s="193" t="s">
        <v>41</v>
      </c>
      <c r="D13" s="195" t="s">
        <v>48</v>
      </c>
      <c r="E13" s="97" t="s">
        <v>173</v>
      </c>
      <c r="F13" s="97" t="s">
        <v>173</v>
      </c>
      <c r="G13" s="97" t="s">
        <v>173</v>
      </c>
      <c r="H13" s="97" t="s">
        <v>173</v>
      </c>
      <c r="I13" s="97" t="s">
        <v>173</v>
      </c>
      <c r="J13" s="97" t="s">
        <v>173</v>
      </c>
      <c r="K13" s="97" t="s">
        <v>173</v>
      </c>
      <c r="L13" s="97" t="s">
        <v>173</v>
      </c>
    </row>
    <row r="14" spans="1:12" ht="16.5" thickBot="1">
      <c r="A14" s="198"/>
      <c r="B14" s="194"/>
      <c r="C14" s="194"/>
      <c r="D14" s="196"/>
      <c r="E14" s="98">
        <v>30</v>
      </c>
      <c r="F14" s="98">
        <v>60</v>
      </c>
      <c r="G14" s="98">
        <v>90</v>
      </c>
      <c r="H14" s="98">
        <v>120</v>
      </c>
      <c r="I14" s="98">
        <v>150</v>
      </c>
      <c r="J14" s="98">
        <v>180</v>
      </c>
      <c r="K14" s="98">
        <v>210</v>
      </c>
      <c r="L14" s="98">
        <v>240</v>
      </c>
    </row>
    <row r="15" spans="1:12">
      <c r="A15" s="182" t="s">
        <v>5</v>
      </c>
      <c r="B15" s="184" t="str">
        <f>ORÇAMENTO!B14</f>
        <v>SERVIÇOS PRELIMINARES</v>
      </c>
      <c r="C15" s="185">
        <f>ORÇAMENTO!H14</f>
        <v>3662.58</v>
      </c>
      <c r="D15" s="192">
        <f>ROUND(C15/$C$23,5)</f>
        <v>2.5000000000000001E-4</v>
      </c>
      <c r="E15" s="99">
        <v>1</v>
      </c>
      <c r="F15" s="99"/>
      <c r="G15" s="99"/>
      <c r="H15" s="99"/>
      <c r="I15" s="99"/>
      <c r="J15" s="99"/>
      <c r="K15" s="99"/>
      <c r="L15" s="99"/>
    </row>
    <row r="16" spans="1:12" ht="15.75" thickBot="1">
      <c r="A16" s="183"/>
      <c r="B16" s="184"/>
      <c r="C16" s="185"/>
      <c r="D16" s="192"/>
      <c r="E16" s="100">
        <f>E15*$C$15</f>
        <v>3662.58</v>
      </c>
      <c r="F16" s="100"/>
      <c r="G16" s="100"/>
      <c r="H16" s="100"/>
      <c r="I16" s="100"/>
      <c r="J16" s="100"/>
      <c r="K16" s="100"/>
      <c r="L16" s="100"/>
    </row>
    <row r="17" spans="1:13">
      <c r="A17" s="182" t="s">
        <v>8</v>
      </c>
      <c r="B17" s="184" t="str">
        <f>ORÇAMENTO!B16</f>
        <v>MOVIMENTO DE TERRA</v>
      </c>
      <c r="C17" s="185">
        <f>ORÇAMENTO!H16</f>
        <v>1859049.57</v>
      </c>
      <c r="D17" s="192">
        <f>ROUND(C17/$C$23,5)</f>
        <v>0.1288</v>
      </c>
      <c r="E17" s="107">
        <v>0.2</v>
      </c>
      <c r="F17" s="99">
        <v>0.2</v>
      </c>
      <c r="G17" s="99">
        <v>0.2</v>
      </c>
      <c r="H17" s="99">
        <v>0.1</v>
      </c>
      <c r="I17" s="99">
        <v>0.1</v>
      </c>
      <c r="J17" s="99">
        <v>0.1</v>
      </c>
      <c r="K17" s="99">
        <v>0.05</v>
      </c>
      <c r="L17" s="99">
        <v>0.05</v>
      </c>
      <c r="M17" s="114">
        <f>SUM(E17:L17)</f>
        <v>1</v>
      </c>
    </row>
    <row r="18" spans="1:13" ht="15.75" thickBot="1">
      <c r="A18" s="183"/>
      <c r="B18" s="184"/>
      <c r="C18" s="185"/>
      <c r="D18" s="192"/>
      <c r="E18" s="100">
        <f>E17*$C$17</f>
        <v>371809.91400000005</v>
      </c>
      <c r="F18" s="100">
        <f>F17*$C$17</f>
        <v>371809.91400000005</v>
      </c>
      <c r="G18" s="100">
        <f>G17*$C$17</f>
        <v>371809.91400000005</v>
      </c>
      <c r="H18" s="100">
        <f>H17*$C$17</f>
        <v>185904.95700000002</v>
      </c>
      <c r="I18" s="100">
        <f>I17*$C$17</f>
        <v>185904.95700000002</v>
      </c>
      <c r="J18" s="100">
        <f>C17*J17</f>
        <v>185904.95700000002</v>
      </c>
      <c r="K18" s="100">
        <f>C17*K17</f>
        <v>92952.478500000012</v>
      </c>
      <c r="L18" s="100">
        <f>C17*L17</f>
        <v>92952.478500000012</v>
      </c>
    </row>
    <row r="19" spans="1:13">
      <c r="A19" s="182" t="s">
        <v>11</v>
      </c>
      <c r="B19" s="184" t="str">
        <f>ORÇAMENTO!B27</f>
        <v>GALERIAS EM TUBO CIRCULAR DE AÇO ARMCO STACO</v>
      </c>
      <c r="C19" s="185">
        <f>ORÇAMENTO!H27</f>
        <v>9370942.700000003</v>
      </c>
      <c r="D19" s="192">
        <f>ROUND(C19/$C$23,5)</f>
        <v>0.64925999999999995</v>
      </c>
      <c r="E19" s="99">
        <v>0.5</v>
      </c>
      <c r="F19" s="99">
        <v>0.2</v>
      </c>
      <c r="G19" s="99">
        <v>0.1</v>
      </c>
      <c r="H19" s="99">
        <v>0.1</v>
      </c>
      <c r="I19" s="99">
        <v>2.5000000000000001E-2</v>
      </c>
      <c r="J19" s="99">
        <v>2.5000000000000001E-2</v>
      </c>
      <c r="K19" s="99">
        <v>2.5000000000000001E-2</v>
      </c>
      <c r="L19" s="99">
        <v>2.5000000000000001E-2</v>
      </c>
      <c r="M19" s="114">
        <f>SUM(E19:L19)</f>
        <v>1</v>
      </c>
    </row>
    <row r="20" spans="1:13" ht="15.75" thickBot="1">
      <c r="A20" s="183"/>
      <c r="B20" s="184"/>
      <c r="C20" s="185"/>
      <c r="D20" s="192"/>
      <c r="E20" s="100">
        <f>E19*$C$19</f>
        <v>4685471.3500000015</v>
      </c>
      <c r="F20" s="100">
        <f>F19*$C$19</f>
        <v>1874188.5400000007</v>
      </c>
      <c r="G20" s="100">
        <f>G19*$C$19</f>
        <v>937094.27000000037</v>
      </c>
      <c r="H20" s="100">
        <f>H19*$C$19</f>
        <v>937094.27000000037</v>
      </c>
      <c r="I20" s="100">
        <f>C19*I19</f>
        <v>234273.56750000009</v>
      </c>
      <c r="J20" s="100">
        <f>C19*J19</f>
        <v>234273.56750000009</v>
      </c>
      <c r="K20" s="100">
        <f>C19*K19</f>
        <v>234273.56750000009</v>
      </c>
      <c r="L20" s="100">
        <f>C19*L19</f>
        <v>234273.56750000009</v>
      </c>
    </row>
    <row r="21" spans="1:13">
      <c r="A21" s="182" t="s">
        <v>13</v>
      </c>
      <c r="B21" s="184" t="str">
        <f>ORÇAMENTO!B50</f>
        <v>BUEIROS TUBULAR DE CONCRETO ARMADO</v>
      </c>
      <c r="C21" s="185">
        <f>ORÇAMENTO!H50</f>
        <v>3199710.28</v>
      </c>
      <c r="D21" s="192">
        <f>ROUND(C21/$C$23,5)</f>
        <v>0.22169</v>
      </c>
      <c r="E21" s="99">
        <v>0.2</v>
      </c>
      <c r="F21" s="99">
        <v>0.2</v>
      </c>
      <c r="G21" s="99">
        <v>0.2</v>
      </c>
      <c r="H21" s="99">
        <v>0.1</v>
      </c>
      <c r="I21" s="99">
        <v>0.1</v>
      </c>
      <c r="J21" s="99">
        <v>0.1</v>
      </c>
      <c r="K21" s="99">
        <v>0.05</v>
      </c>
      <c r="L21" s="99">
        <v>0.05</v>
      </c>
      <c r="M21" s="114">
        <f>SUM(E21:L21)</f>
        <v>1</v>
      </c>
    </row>
    <row r="22" spans="1:13" ht="15.75" thickBot="1">
      <c r="A22" s="183"/>
      <c r="B22" s="184"/>
      <c r="C22" s="185"/>
      <c r="D22" s="192"/>
      <c r="E22" s="100">
        <f>E21*$C$21</f>
        <v>639942.05599999998</v>
      </c>
      <c r="F22" s="100">
        <f>F21*$C$21</f>
        <v>639942.05599999998</v>
      </c>
      <c r="G22" s="100">
        <f>G21*$C$21</f>
        <v>639942.05599999998</v>
      </c>
      <c r="H22" s="100">
        <f>H21*$C$21</f>
        <v>319971.02799999999</v>
      </c>
      <c r="I22" s="100">
        <f>C21*I21</f>
        <v>319971.02799999999</v>
      </c>
      <c r="J22" s="100">
        <f>C21*J21</f>
        <v>319971.02799999999</v>
      </c>
      <c r="K22" s="100">
        <f>C21*K21</f>
        <v>159985.514</v>
      </c>
      <c r="L22" s="100">
        <f>C21*L21</f>
        <v>159985.514</v>
      </c>
    </row>
    <row r="23" spans="1:13" ht="16.5" thickBot="1">
      <c r="A23" s="214" t="s">
        <v>4</v>
      </c>
      <c r="B23" s="215"/>
      <c r="C23" s="56">
        <f>SUM(C15:C22)</f>
        <v>14433365.130000003</v>
      </c>
      <c r="D23" s="106">
        <f>SUM(D15:D22)</f>
        <v>1</v>
      </c>
      <c r="E23" s="205"/>
      <c r="F23" s="206"/>
      <c r="G23" s="206"/>
      <c r="H23" s="206"/>
      <c r="I23" s="206"/>
      <c r="J23" s="206"/>
      <c r="K23" s="206"/>
      <c r="L23" s="207"/>
    </row>
    <row r="24" spans="1:13" ht="15.75">
      <c r="A24" s="216" t="s">
        <v>49</v>
      </c>
      <c r="B24" s="217"/>
      <c r="C24" s="217"/>
      <c r="D24" s="54"/>
      <c r="E24" s="105">
        <f>E20+E18+E16+E22</f>
        <v>5700885.9000000013</v>
      </c>
      <c r="F24" s="105">
        <f t="shared" ref="F24:L24" si="0">F20+F18+F22</f>
        <v>2885940.5100000007</v>
      </c>
      <c r="G24" s="105">
        <f t="shared" si="0"/>
        <v>1948846.2400000002</v>
      </c>
      <c r="H24" s="105">
        <f t="shared" si="0"/>
        <v>1442970.2550000004</v>
      </c>
      <c r="I24" s="105">
        <f t="shared" si="0"/>
        <v>740149.55250000011</v>
      </c>
      <c r="J24" s="105">
        <f t="shared" si="0"/>
        <v>740149.55250000011</v>
      </c>
      <c r="K24" s="105">
        <f t="shared" si="0"/>
        <v>487211.56000000006</v>
      </c>
      <c r="L24" s="105">
        <f t="shared" si="0"/>
        <v>487211.56000000006</v>
      </c>
    </row>
    <row r="25" spans="1:13" ht="15.75">
      <c r="A25" s="216" t="s">
        <v>50</v>
      </c>
      <c r="B25" s="217"/>
      <c r="C25" s="217"/>
      <c r="D25" s="54"/>
      <c r="E25" s="102">
        <f t="shared" ref="E25:L25" si="1">E24/$C$23</f>
        <v>0.39497967720296978</v>
      </c>
      <c r="F25" s="102">
        <f t="shared" si="1"/>
        <v>0.19994924842589359</v>
      </c>
      <c r="G25" s="102">
        <f t="shared" si="1"/>
        <v>0.13502369145704554</v>
      </c>
      <c r="H25" s="102">
        <f t="shared" si="1"/>
        <v>9.9974624212946797E-2</v>
      </c>
      <c r="I25" s="102">
        <f t="shared" si="1"/>
        <v>5.1280456486310758E-2</v>
      </c>
      <c r="J25" s="102">
        <f t="shared" si="1"/>
        <v>5.1280456486310758E-2</v>
      </c>
      <c r="K25" s="102">
        <f t="shared" si="1"/>
        <v>3.3755922864261385E-2</v>
      </c>
      <c r="L25" s="102">
        <f t="shared" si="1"/>
        <v>3.3755922864261385E-2</v>
      </c>
    </row>
    <row r="26" spans="1:13" ht="15.75">
      <c r="A26" s="216" t="s">
        <v>51</v>
      </c>
      <c r="B26" s="217"/>
      <c r="C26" s="217"/>
      <c r="D26" s="54"/>
      <c r="E26" s="103">
        <f>E24</f>
        <v>5700885.9000000013</v>
      </c>
      <c r="F26" s="103">
        <f t="shared" ref="F26:L27" si="2">E26+F24</f>
        <v>8586826.410000002</v>
      </c>
      <c r="G26" s="103">
        <f t="shared" si="2"/>
        <v>10535672.650000002</v>
      </c>
      <c r="H26" s="103">
        <f t="shared" si="2"/>
        <v>11978642.905000003</v>
      </c>
      <c r="I26" s="101">
        <f t="shared" si="2"/>
        <v>12718792.457500003</v>
      </c>
      <c r="J26" s="101">
        <f t="shared" si="2"/>
        <v>13458942.010000004</v>
      </c>
      <c r="K26" s="101">
        <f t="shared" si="2"/>
        <v>13946153.570000004</v>
      </c>
      <c r="L26" s="113">
        <f t="shared" si="2"/>
        <v>14433365.130000005</v>
      </c>
    </row>
    <row r="27" spans="1:13" ht="16.5" thickBot="1">
      <c r="A27" s="218" t="s">
        <v>52</v>
      </c>
      <c r="B27" s="219"/>
      <c r="C27" s="219"/>
      <c r="D27" s="55"/>
      <c r="E27" s="104">
        <f>E25</f>
        <v>0.39497967720296978</v>
      </c>
      <c r="F27" s="104">
        <f t="shared" si="2"/>
        <v>0.59492892562886335</v>
      </c>
      <c r="G27" s="104">
        <f t="shared" si="2"/>
        <v>0.72995261708590886</v>
      </c>
      <c r="H27" s="104">
        <f t="shared" si="2"/>
        <v>0.82992724129885564</v>
      </c>
      <c r="I27" s="104">
        <f t="shared" si="2"/>
        <v>0.88120769778516639</v>
      </c>
      <c r="J27" s="104">
        <f t="shared" si="2"/>
        <v>0.93248815427147713</v>
      </c>
      <c r="K27" s="104">
        <f t="shared" si="2"/>
        <v>0.96624407713573857</v>
      </c>
      <c r="L27" s="104">
        <f t="shared" si="2"/>
        <v>1</v>
      </c>
    </row>
    <row r="28" spans="1:1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</row>
    <row r="29" spans="1:13">
      <c r="A29" s="209"/>
      <c r="B29" s="209"/>
      <c r="C29" s="209"/>
      <c r="D29" s="209"/>
      <c r="E29" s="209"/>
      <c r="F29" s="209"/>
      <c r="G29" s="209"/>
      <c r="H29" s="209"/>
      <c r="I29" s="209"/>
      <c r="J29" s="209"/>
      <c r="K29" s="209"/>
      <c r="L29" s="209"/>
    </row>
    <row r="30" spans="1:13">
      <c r="A30" s="209"/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</row>
    <row r="31" spans="1:13">
      <c r="A31" s="209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</row>
    <row r="32" spans="1:13">
      <c r="A32" s="209"/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</row>
    <row r="33" spans="1:12">
      <c r="A33" s="209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</row>
    <row r="34" spans="1:12">
      <c r="A34" s="209"/>
      <c r="B34" s="209"/>
      <c r="C34" s="209"/>
      <c r="D34" s="209"/>
      <c r="E34" s="209"/>
      <c r="F34" s="209"/>
      <c r="G34" s="209"/>
      <c r="H34" s="209"/>
      <c r="I34" s="209"/>
      <c r="J34" s="209"/>
      <c r="K34" s="209"/>
      <c r="L34" s="209"/>
    </row>
    <row r="35" spans="1:12">
      <c r="A35" s="209"/>
      <c r="B35" s="209"/>
      <c r="C35" s="209"/>
      <c r="D35" s="209"/>
      <c r="E35" s="209"/>
      <c r="F35" s="209"/>
      <c r="G35" s="209"/>
      <c r="H35" s="209"/>
      <c r="I35" s="209"/>
      <c r="J35" s="209"/>
      <c r="K35" s="209"/>
      <c r="L35" s="209"/>
    </row>
  </sheetData>
  <mergeCells count="36">
    <mergeCell ref="E23:L23"/>
    <mergeCell ref="A28:L35"/>
    <mergeCell ref="A1:L6"/>
    <mergeCell ref="A15:A16"/>
    <mergeCell ref="A10:L10"/>
    <mergeCell ref="A21:A22"/>
    <mergeCell ref="B21:B22"/>
    <mergeCell ref="C21:C22"/>
    <mergeCell ref="D21:D22"/>
    <mergeCell ref="A23:B23"/>
    <mergeCell ref="A24:C24"/>
    <mergeCell ref="A25:C25"/>
    <mergeCell ref="A26:C26"/>
    <mergeCell ref="A27:C27"/>
    <mergeCell ref="D19:D20"/>
    <mergeCell ref="A13:A14"/>
    <mergeCell ref="B15:B16"/>
    <mergeCell ref="C15:C16"/>
    <mergeCell ref="D15:D16"/>
    <mergeCell ref="A11:L12"/>
    <mergeCell ref="G7:L7"/>
    <mergeCell ref="A7:F7"/>
    <mergeCell ref="A8:F8"/>
    <mergeCell ref="A9:F9"/>
    <mergeCell ref="A19:A20"/>
    <mergeCell ref="B19:B20"/>
    <mergeCell ref="C19:C20"/>
    <mergeCell ref="A17:A18"/>
    <mergeCell ref="G8:L8"/>
    <mergeCell ref="G9:L9"/>
    <mergeCell ref="B17:B18"/>
    <mergeCell ref="C17:C18"/>
    <mergeCell ref="D17:D18"/>
    <mergeCell ref="C13:C14"/>
    <mergeCell ref="D13:D14"/>
    <mergeCell ref="B13:B14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topLeftCell="A6" zoomScaleNormal="100" zoomScaleSheetLayoutView="100" workbookViewId="0">
      <selection activeCell="L17" sqref="L1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140"/>
      <c r="B1" s="140"/>
      <c r="C1" s="140"/>
      <c r="D1" s="140"/>
      <c r="E1" s="140"/>
      <c r="F1" s="140"/>
      <c r="G1" s="140"/>
    </row>
    <row r="2" spans="1:7" ht="20.100000000000001" customHeight="1">
      <c r="A2" s="140"/>
      <c r="B2" s="140"/>
      <c r="C2" s="140"/>
      <c r="D2" s="140"/>
      <c r="E2" s="140"/>
      <c r="F2" s="140"/>
      <c r="G2" s="140"/>
    </row>
    <row r="3" spans="1:7" ht="20.100000000000001" customHeight="1">
      <c r="A3" s="140"/>
      <c r="B3" s="140"/>
      <c r="C3" s="140"/>
      <c r="D3" s="140"/>
      <c r="E3" s="140"/>
      <c r="F3" s="140"/>
      <c r="G3" s="140"/>
    </row>
    <row r="4" spans="1:7" ht="19.5" customHeight="1">
      <c r="A4" s="140"/>
      <c r="B4" s="140"/>
      <c r="C4" s="140"/>
      <c r="D4" s="140"/>
      <c r="E4" s="140"/>
      <c r="F4" s="140"/>
      <c r="G4" s="140"/>
    </row>
    <row r="5" spans="1:7" ht="30.75" customHeight="1">
      <c r="A5" s="3" t="s">
        <v>19</v>
      </c>
      <c r="B5" s="220" t="s">
        <v>216</v>
      </c>
      <c r="C5" s="220"/>
      <c r="D5" s="220"/>
      <c r="E5" s="220"/>
      <c r="F5" s="220"/>
      <c r="G5" s="220"/>
    </row>
    <row r="6" spans="1:7" ht="20.100000000000001" customHeight="1">
      <c r="A6" s="4" t="s">
        <v>20</v>
      </c>
      <c r="B6" s="220" t="s">
        <v>21</v>
      </c>
      <c r="C6" s="220"/>
      <c r="D6" s="220"/>
      <c r="E6" s="5"/>
    </row>
    <row r="7" spans="1:7" ht="20.100000000000001" customHeight="1">
      <c r="A7" s="7" t="s">
        <v>22</v>
      </c>
      <c r="B7" s="220" t="s">
        <v>80</v>
      </c>
      <c r="C7" s="220"/>
      <c r="D7" s="220"/>
      <c r="E7" s="6"/>
    </row>
    <row r="8" spans="1:7" ht="24.95" customHeight="1">
      <c r="A8" s="231" t="s">
        <v>23</v>
      </c>
      <c r="B8" s="231"/>
      <c r="C8" s="231"/>
      <c r="D8" s="231"/>
    </row>
    <row r="9" spans="1:7" ht="24.95" customHeight="1" thickBot="1">
      <c r="A9" s="231"/>
      <c r="B9" s="231"/>
      <c r="C9" s="231"/>
      <c r="D9" s="231"/>
    </row>
    <row r="10" spans="1:7" ht="20.100000000000001" customHeight="1" thickBot="1">
      <c r="A10" s="232" t="s">
        <v>24</v>
      </c>
      <c r="B10" s="232"/>
      <c r="C10" s="232"/>
      <c r="D10" s="232"/>
      <c r="F10" s="225" t="s">
        <v>25</v>
      </c>
      <c r="G10" s="226"/>
    </row>
    <row r="11" spans="1:7" ht="15.75" thickBot="1">
      <c r="A11" s="221" t="s">
        <v>26</v>
      </c>
      <c r="B11" s="222"/>
      <c r="C11" s="8" t="s">
        <v>27</v>
      </c>
      <c r="D11" s="9" t="s">
        <v>28</v>
      </c>
      <c r="F11" s="10" t="s">
        <v>29</v>
      </c>
      <c r="G11" s="11" t="s">
        <v>30</v>
      </c>
    </row>
    <row r="12" spans="1:7">
      <c r="A12" s="223" t="s">
        <v>64</v>
      </c>
      <c r="B12" s="224"/>
      <c r="C12" s="12" t="s">
        <v>14</v>
      </c>
      <c r="D12" s="13">
        <v>3.4299999999999997E-2</v>
      </c>
      <c r="F12" s="14">
        <v>3.4299999999999997E-2</v>
      </c>
      <c r="G12" s="15">
        <v>6.7100000000000007E-2</v>
      </c>
    </row>
    <row r="13" spans="1:7">
      <c r="A13" s="227" t="s">
        <v>65</v>
      </c>
      <c r="B13" s="228"/>
      <c r="C13" s="16" t="s">
        <v>66</v>
      </c>
      <c r="D13" s="17">
        <v>2.8E-3</v>
      </c>
      <c r="F13" s="18">
        <v>2.8E-3</v>
      </c>
      <c r="G13" s="19">
        <v>7.4999999999999997E-3</v>
      </c>
    </row>
    <row r="14" spans="1:7">
      <c r="A14" s="227" t="s">
        <v>67</v>
      </c>
      <c r="B14" s="228"/>
      <c r="C14" s="16" t="s">
        <v>15</v>
      </c>
      <c r="D14" s="17">
        <v>0.01</v>
      </c>
      <c r="F14" s="18">
        <v>0.01</v>
      </c>
      <c r="G14" s="19">
        <v>1.7399999999999999E-2</v>
      </c>
    </row>
    <row r="15" spans="1:7">
      <c r="A15" s="229" t="s">
        <v>68</v>
      </c>
      <c r="B15" s="230"/>
      <c r="C15" s="20" t="s">
        <v>16</v>
      </c>
      <c r="D15" s="21">
        <v>9.4000000000000004E-3</v>
      </c>
      <c r="F15" s="22">
        <v>9.4000000000000004E-3</v>
      </c>
      <c r="G15" s="23">
        <v>1.17E-2</v>
      </c>
    </row>
    <row r="16" spans="1:7">
      <c r="A16" s="233" t="s">
        <v>69</v>
      </c>
      <c r="B16" s="234"/>
      <c r="C16" s="66" t="s">
        <v>17</v>
      </c>
      <c r="D16" s="67">
        <v>6.7400000000000002E-2</v>
      </c>
      <c r="F16" s="14">
        <v>6.7400000000000002E-2</v>
      </c>
      <c r="G16" s="15">
        <v>9.4E-2</v>
      </c>
    </row>
    <row r="17" spans="1:9">
      <c r="A17" s="235" t="s">
        <v>31</v>
      </c>
      <c r="B17" s="24" t="s">
        <v>32</v>
      </c>
      <c r="C17" s="237" t="s">
        <v>33</v>
      </c>
      <c r="D17" s="13">
        <v>6.4999999999999997E-3</v>
      </c>
      <c r="F17" s="239" t="s">
        <v>34</v>
      </c>
      <c r="G17" s="240"/>
    </row>
    <row r="18" spans="1:9">
      <c r="A18" s="235"/>
      <c r="B18" s="25" t="s">
        <v>35</v>
      </c>
      <c r="C18" s="237"/>
      <c r="D18" s="17">
        <v>0.03</v>
      </c>
      <c r="F18" s="239"/>
      <c r="G18" s="240"/>
    </row>
    <row r="19" spans="1:9">
      <c r="A19" s="235"/>
      <c r="B19" s="25" t="s">
        <v>36</v>
      </c>
      <c r="C19" s="237"/>
      <c r="D19" s="17">
        <v>0.05</v>
      </c>
      <c r="F19" s="239"/>
      <c r="G19" s="240"/>
      <c r="I19" s="94"/>
    </row>
    <row r="20" spans="1:9" ht="15.75" thickBot="1">
      <c r="A20" s="236"/>
      <c r="B20" s="33" t="s">
        <v>37</v>
      </c>
      <c r="C20" s="238"/>
      <c r="D20" s="26">
        <v>4.4999999999999998E-2</v>
      </c>
      <c r="F20" s="239"/>
      <c r="G20" s="240"/>
    </row>
    <row r="21" spans="1:9" ht="15.75" thickBot="1">
      <c r="A21" s="241" t="s">
        <v>38</v>
      </c>
      <c r="B21" s="242"/>
      <c r="C21" s="243"/>
      <c r="D21" s="27">
        <f>SUM(D17:D20)</f>
        <v>0.13150000000000001</v>
      </c>
      <c r="F21" s="239"/>
      <c r="G21" s="240"/>
    </row>
    <row r="22" spans="1:9" ht="6.75" customHeight="1" thickBot="1">
      <c r="A22" s="244"/>
      <c r="B22" s="244"/>
      <c r="C22" s="244"/>
      <c r="D22" s="244"/>
      <c r="F22" s="245"/>
      <c r="G22" s="245"/>
    </row>
    <row r="23" spans="1:9" ht="15.75" thickBot="1">
      <c r="A23" s="246" t="s">
        <v>71</v>
      </c>
      <c r="B23" s="247"/>
      <c r="C23" s="248"/>
      <c r="D23" s="28">
        <f>((1+D12+D13+D14)*(1+D15)*(1+D16)/(1-D21)-1)</f>
        <v>0.29899905662176152</v>
      </c>
      <c r="F23" s="29">
        <v>0.20760000000000001</v>
      </c>
      <c r="G23" s="30">
        <v>0.3</v>
      </c>
    </row>
    <row r="24" spans="1:9" ht="15" customHeight="1">
      <c r="A24" s="31"/>
      <c r="B24" s="31"/>
      <c r="C24" s="31"/>
      <c r="D24" s="32"/>
    </row>
    <row r="25" spans="1:9">
      <c r="A25" s="249" t="s">
        <v>18</v>
      </c>
      <c r="B25" s="249"/>
      <c r="C25" s="249"/>
    </row>
    <row r="26" spans="1:9" ht="20.100000000000001" customHeight="1">
      <c r="A26" s="250" t="s">
        <v>70</v>
      </c>
      <c r="B26" s="250"/>
      <c r="C26" s="250"/>
      <c r="F26" s="1"/>
    </row>
    <row r="27" spans="1:9">
      <c r="F27" s="1"/>
    </row>
  </sheetData>
  <mergeCells count="22">
    <mergeCell ref="A22:D22"/>
    <mergeCell ref="F22:G22"/>
    <mergeCell ref="A23:C23"/>
    <mergeCell ref="A25:C25"/>
    <mergeCell ref="A26:C26"/>
    <mergeCell ref="A16:B16"/>
    <mergeCell ref="A17:A20"/>
    <mergeCell ref="C17:C20"/>
    <mergeCell ref="F17:G21"/>
    <mergeCell ref="A21:C21"/>
    <mergeCell ref="A13:B13"/>
    <mergeCell ref="A14:B14"/>
    <mergeCell ref="A15:B15"/>
    <mergeCell ref="B7:D7"/>
    <mergeCell ref="A8:D9"/>
    <mergeCell ref="A10:D10"/>
    <mergeCell ref="A1:G4"/>
    <mergeCell ref="B5:G5"/>
    <mergeCell ref="B6:D6"/>
    <mergeCell ref="A11:B11"/>
    <mergeCell ref="A12:B12"/>
    <mergeCell ref="F10:G10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2022-09-19T17:32:41Z</cp:lastPrinted>
  <dcterms:created xsi:type="dcterms:W3CDTF">2018-01-19T19:37:18Z</dcterms:created>
  <dcterms:modified xsi:type="dcterms:W3CDTF">2022-09-21T17:32:44Z</dcterms:modified>
</cp:coreProperties>
</file>